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1840" windowHeight="13140" tabRatio="819"/>
  </bookViews>
  <sheets>
    <sheet name="Ծավալաթերթ" sheetId="10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8" i="10" l="1"/>
  <c r="A214" i="10"/>
  <c r="A200" i="10"/>
  <c r="A13" i="10"/>
  <c r="A14" i="10" s="1"/>
  <c r="A15" i="10" s="1"/>
  <c r="A16" i="10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1" i="10" s="1"/>
  <c r="A92" i="10" s="1"/>
  <c r="A93" i="10" s="1"/>
  <c r="A94" i="10" s="1"/>
  <c r="A95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6" i="10" s="1"/>
  <c r="A197" i="10" s="1"/>
  <c r="A198" i="10" s="1"/>
  <c r="A12" i="10"/>
  <c r="E231" i="10"/>
  <c r="F231" i="10"/>
  <c r="F196" i="10"/>
  <c r="F201" i="10"/>
  <c r="F209" i="10"/>
  <c r="F212" i="10"/>
  <c r="F214" i="10"/>
  <c r="F217" i="10"/>
  <c r="F221" i="10"/>
  <c r="F225" i="10"/>
  <c r="F226" i="10"/>
  <c r="F230" i="10"/>
  <c r="E230" i="10"/>
  <c r="E229" i="10"/>
  <c r="F229" i="10" s="1"/>
  <c r="E228" i="10"/>
  <c r="F228" i="10" s="1"/>
  <c r="E226" i="10"/>
  <c r="E225" i="10"/>
  <c r="E224" i="10"/>
  <c r="F224" i="10" s="1"/>
  <c r="E223" i="10"/>
  <c r="F223" i="10" s="1"/>
  <c r="E222" i="10"/>
  <c r="E221" i="10"/>
  <c r="E220" i="10"/>
  <c r="F220" i="10" s="1"/>
  <c r="E219" i="10"/>
  <c r="F219" i="10" s="1"/>
  <c r="E218" i="10"/>
  <c r="E217" i="10"/>
  <c r="E216" i="10"/>
  <c r="F216" i="10" s="1"/>
  <c r="E215" i="10"/>
  <c r="F215" i="10" s="1"/>
  <c r="E214" i="10"/>
  <c r="E212" i="10"/>
  <c r="E211" i="10"/>
  <c r="F211" i="10" s="1"/>
  <c r="E210" i="10"/>
  <c r="F210" i="10" s="1"/>
  <c r="E209" i="10"/>
  <c r="E208" i="10"/>
  <c r="E207" i="10"/>
  <c r="F207" i="10" s="1"/>
  <c r="E206" i="10"/>
  <c r="F206" i="10" s="1"/>
  <c r="E205" i="10"/>
  <c r="E204" i="10"/>
  <c r="E203" i="10"/>
  <c r="F203" i="10" s="1"/>
  <c r="E202" i="10"/>
  <c r="F202" i="10" s="1"/>
  <c r="E201" i="10"/>
  <c r="E200" i="10"/>
  <c r="E198" i="10"/>
  <c r="F198" i="10" s="1"/>
  <c r="E197" i="10"/>
  <c r="F197" i="10" s="1"/>
  <c r="E196" i="10"/>
  <c r="E193" i="10"/>
  <c r="F233" i="10"/>
  <c r="D226" i="10"/>
  <c r="D225" i="10"/>
  <c r="D223" i="10"/>
  <c r="D222" i="10"/>
  <c r="F222" i="10" s="1"/>
  <c r="D221" i="10"/>
  <c r="D220" i="10"/>
  <c r="D219" i="10"/>
  <c r="D218" i="10"/>
  <c r="F218" i="10" s="1"/>
  <c r="D216" i="10"/>
  <c r="D212" i="10"/>
  <c r="D211" i="10"/>
  <c r="D208" i="10"/>
  <c r="F208" i="10" s="1"/>
  <c r="D207" i="10"/>
  <c r="D206" i="10"/>
  <c r="D205" i="10"/>
  <c r="F205" i="10" s="1"/>
  <c r="D204" i="10"/>
  <c r="F204" i="10" s="1"/>
  <c r="D203" i="10"/>
  <c r="D202" i="10"/>
  <c r="D200" i="10"/>
  <c r="F200" i="10" s="1"/>
  <c r="F52" i="10"/>
  <c r="F104" i="10"/>
  <c r="F127" i="10"/>
  <c r="F139" i="10"/>
  <c r="F160" i="10"/>
  <c r="F177" i="10"/>
  <c r="E192" i="10"/>
  <c r="E191" i="10"/>
  <c r="F191" i="10" s="1"/>
  <c r="E190" i="10"/>
  <c r="E189" i="10"/>
  <c r="F189" i="10" s="1"/>
  <c r="E188" i="10"/>
  <c r="F188" i="10" s="1"/>
  <c r="E187" i="10"/>
  <c r="F187" i="10" s="1"/>
  <c r="E186" i="10"/>
  <c r="F186" i="10" s="1"/>
  <c r="E185" i="10"/>
  <c r="F185" i="10" s="1"/>
  <c r="E184" i="10"/>
  <c r="F184" i="10" s="1"/>
  <c r="E183" i="10"/>
  <c r="F183" i="10" s="1"/>
  <c r="E182" i="10"/>
  <c r="F182" i="10" s="1"/>
  <c r="E181" i="10"/>
  <c r="F181" i="10" s="1"/>
  <c r="E180" i="10"/>
  <c r="F180" i="10" s="1"/>
  <c r="E178" i="10"/>
  <c r="E177" i="10"/>
  <c r="E176" i="10"/>
  <c r="F176" i="10" s="1"/>
  <c r="E175" i="10"/>
  <c r="F175" i="10" s="1"/>
  <c r="E174" i="10"/>
  <c r="E173" i="10"/>
  <c r="E172" i="10"/>
  <c r="F172" i="10" s="1"/>
  <c r="E171" i="10"/>
  <c r="F171" i="10" s="1"/>
  <c r="E170" i="10"/>
  <c r="F170" i="10" s="1"/>
  <c r="E169" i="10"/>
  <c r="E168" i="10"/>
  <c r="E167" i="10"/>
  <c r="E166" i="10"/>
  <c r="E165" i="10"/>
  <c r="E164" i="10"/>
  <c r="E162" i="10"/>
  <c r="E161" i="10"/>
  <c r="F161" i="10" s="1"/>
  <c r="E160" i="10"/>
  <c r="E159" i="10"/>
  <c r="F159" i="10" s="1"/>
  <c r="E158" i="10"/>
  <c r="E157" i="10"/>
  <c r="E156" i="10"/>
  <c r="E155" i="10"/>
  <c r="E154" i="10"/>
  <c r="F154" i="10" s="1"/>
  <c r="E153" i="10"/>
  <c r="E152" i="10"/>
  <c r="F152" i="10" s="1"/>
  <c r="E151" i="10"/>
  <c r="F151" i="10" s="1"/>
  <c r="E150" i="10"/>
  <c r="F150" i="10" s="1"/>
  <c r="E149" i="10"/>
  <c r="E148" i="10"/>
  <c r="E147" i="10"/>
  <c r="E146" i="10"/>
  <c r="E145" i="10"/>
  <c r="E144" i="10"/>
  <c r="E142" i="10"/>
  <c r="F142" i="10" s="1"/>
  <c r="E141" i="10"/>
  <c r="F141" i="10" s="1"/>
  <c r="E140" i="10"/>
  <c r="F140" i="10" s="1"/>
  <c r="E139" i="10"/>
  <c r="E138" i="10"/>
  <c r="F138" i="10" s="1"/>
  <c r="E137" i="10"/>
  <c r="F137" i="10" s="1"/>
  <c r="E136" i="10"/>
  <c r="F136" i="10" s="1"/>
  <c r="E135" i="10"/>
  <c r="F135" i="10" s="1"/>
  <c r="E134" i="10"/>
  <c r="F134" i="10" s="1"/>
  <c r="E133" i="10"/>
  <c r="F133" i="10" s="1"/>
  <c r="E132" i="10"/>
  <c r="F132" i="10" s="1"/>
  <c r="E131" i="10"/>
  <c r="F131" i="10" s="1"/>
  <c r="E130" i="10"/>
  <c r="F130" i="10" s="1"/>
  <c r="E129" i="10"/>
  <c r="F129" i="10" s="1"/>
  <c r="E128" i="10"/>
  <c r="F128" i="10" s="1"/>
  <c r="E127" i="10"/>
  <c r="E126" i="10"/>
  <c r="F126" i="10" s="1"/>
  <c r="E125" i="10"/>
  <c r="F125" i="10" s="1"/>
  <c r="E124" i="10"/>
  <c r="F124" i="10" s="1"/>
  <c r="E123" i="10"/>
  <c r="F123" i="10" s="1"/>
  <c r="E122" i="10"/>
  <c r="F122" i="10" s="1"/>
  <c r="E119" i="10"/>
  <c r="E118" i="10"/>
  <c r="E117" i="10"/>
  <c r="F117" i="10" s="1"/>
  <c r="E116" i="10"/>
  <c r="F116" i="10" s="1"/>
  <c r="E115" i="10"/>
  <c r="F115" i="10" s="1"/>
  <c r="E114" i="10"/>
  <c r="E113" i="10"/>
  <c r="E112" i="10"/>
  <c r="E111" i="10"/>
  <c r="E110" i="10"/>
  <c r="E109" i="10"/>
  <c r="E107" i="10"/>
  <c r="E106" i="10"/>
  <c r="E105" i="10"/>
  <c r="F105" i="10" s="1"/>
  <c r="E104" i="10"/>
  <c r="E103" i="10"/>
  <c r="F103" i="10" s="1"/>
  <c r="E102" i="10"/>
  <c r="E101" i="10"/>
  <c r="F101" i="10" s="1"/>
  <c r="E100" i="10"/>
  <c r="E99" i="10"/>
  <c r="E98" i="10"/>
  <c r="E97" i="10"/>
  <c r="E95" i="10"/>
  <c r="F95" i="10" s="1"/>
  <c r="E94" i="10"/>
  <c r="F94" i="10" s="1"/>
  <c r="E93" i="10"/>
  <c r="E92" i="10"/>
  <c r="F92" i="10" s="1"/>
  <c r="E91" i="10"/>
  <c r="F91" i="10" s="1"/>
  <c r="E89" i="10"/>
  <c r="E88" i="10"/>
  <c r="F88" i="10" s="1"/>
  <c r="E87" i="10"/>
  <c r="F87" i="10" s="1"/>
  <c r="E86" i="10"/>
  <c r="F86" i="10" s="1"/>
  <c r="E85" i="10"/>
  <c r="F85" i="10" s="1"/>
  <c r="E84" i="10"/>
  <c r="F84" i="10" s="1"/>
  <c r="E83" i="10"/>
  <c r="F83" i="10" s="1"/>
  <c r="E82" i="10"/>
  <c r="F82" i="10" s="1"/>
  <c r="E81" i="10"/>
  <c r="F81" i="10" s="1"/>
  <c r="E80" i="10"/>
  <c r="F80" i="10" s="1"/>
  <c r="E79" i="10"/>
  <c r="F79" i="10" s="1"/>
  <c r="E78" i="10"/>
  <c r="F78" i="10" s="1"/>
  <c r="E77" i="10"/>
  <c r="F77" i="10" s="1"/>
  <c r="E76" i="10"/>
  <c r="F76" i="10" s="1"/>
  <c r="E74" i="10"/>
  <c r="E73" i="10"/>
  <c r="F73" i="10" s="1"/>
  <c r="E72" i="10"/>
  <c r="F72" i="10" s="1"/>
  <c r="E71" i="10"/>
  <c r="F71" i="10" s="1"/>
  <c r="E70" i="10"/>
  <c r="E69" i="10"/>
  <c r="E68" i="10"/>
  <c r="F68" i="10" s="1"/>
  <c r="E67" i="10"/>
  <c r="F67" i="10" s="1"/>
  <c r="E66" i="10"/>
  <c r="F66" i="10" s="1"/>
  <c r="E65" i="10"/>
  <c r="E64" i="10"/>
  <c r="E63" i="10"/>
  <c r="E62" i="10"/>
  <c r="E61" i="10"/>
  <c r="E60" i="10"/>
  <c r="E58" i="10"/>
  <c r="E57" i="10"/>
  <c r="F57" i="10" s="1"/>
  <c r="E56" i="10"/>
  <c r="F56" i="10" s="1"/>
  <c r="E55" i="10"/>
  <c r="F55" i="10" s="1"/>
  <c r="E54" i="10"/>
  <c r="E53" i="10"/>
  <c r="E52" i="10"/>
  <c r="E51" i="10"/>
  <c r="F51" i="10" s="1"/>
  <c r="E50" i="10"/>
  <c r="F50" i="10" s="1"/>
  <c r="E49" i="10"/>
  <c r="E48" i="10"/>
  <c r="E47" i="10"/>
  <c r="E46" i="10"/>
  <c r="E45" i="10"/>
  <c r="E44" i="10"/>
  <c r="A201" i="10" l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9" i="10" s="1"/>
  <c r="A230" i="10" s="1"/>
  <c r="A231" i="10" s="1"/>
  <c r="E42" i="10"/>
  <c r="F42" i="10" s="1"/>
  <c r="E41" i="10"/>
  <c r="F41" i="10" s="1"/>
  <c r="E40" i="10"/>
  <c r="F40" i="10" s="1"/>
  <c r="E39" i="10"/>
  <c r="F39" i="10" s="1"/>
  <c r="E38" i="10"/>
  <c r="F38" i="10" s="1"/>
  <c r="E37" i="10"/>
  <c r="F37" i="10" s="1"/>
  <c r="E36" i="10"/>
  <c r="F36" i="10" s="1"/>
  <c r="E35" i="10"/>
  <c r="F35" i="10" s="1"/>
  <c r="E34" i="10"/>
  <c r="F34" i="10" s="1"/>
  <c r="E33" i="10"/>
  <c r="F33" i="10" s="1"/>
  <c r="E31" i="10"/>
  <c r="F31" i="10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D193" i="10"/>
  <c r="F193" i="10" s="1"/>
  <c r="D192" i="10"/>
  <c r="F192" i="10" s="1"/>
  <c r="D190" i="10"/>
  <c r="F190" i="10" s="1"/>
  <c r="D178" i="10"/>
  <c r="F178" i="10" s="1"/>
  <c r="D174" i="10"/>
  <c r="F174" i="10" s="1"/>
  <c r="D173" i="10"/>
  <c r="F173" i="10" s="1"/>
  <c r="D169" i="10"/>
  <c r="F169" i="10" s="1"/>
  <c r="D168" i="10"/>
  <c r="F168" i="10" s="1"/>
  <c r="D167" i="10"/>
  <c r="F167" i="10" s="1"/>
  <c r="D166" i="10"/>
  <c r="F166" i="10" s="1"/>
  <c r="D165" i="10"/>
  <c r="F165" i="10" s="1"/>
  <c r="D164" i="10"/>
  <c r="F164" i="10" s="1"/>
  <c r="D162" i="10"/>
  <c r="F162" i="10" s="1"/>
  <c r="D158" i="10"/>
  <c r="F158" i="10" s="1"/>
  <c r="D157" i="10"/>
  <c r="F157" i="10" s="1"/>
  <c r="D156" i="10"/>
  <c r="F156" i="10" s="1"/>
  <c r="D155" i="10"/>
  <c r="F155" i="10" s="1"/>
  <c r="D153" i="10"/>
  <c r="F153" i="10" s="1"/>
  <c r="D149" i="10"/>
  <c r="F149" i="10" s="1"/>
  <c r="D148" i="10"/>
  <c r="F148" i="10" s="1"/>
  <c r="D147" i="10"/>
  <c r="F147" i="10" s="1"/>
  <c r="D146" i="10"/>
  <c r="F146" i="10" s="1"/>
  <c r="D145" i="10"/>
  <c r="F145" i="10" s="1"/>
  <c r="D144" i="10"/>
  <c r="F144" i="10" s="1"/>
  <c r="D119" i="10"/>
  <c r="F119" i="10" s="1"/>
  <c r="D118" i="10"/>
  <c r="F118" i="10" s="1"/>
  <c r="D114" i="10"/>
  <c r="F114" i="10" s="1"/>
  <c r="D113" i="10"/>
  <c r="F113" i="10" s="1"/>
  <c r="D112" i="10"/>
  <c r="F112" i="10" s="1"/>
  <c r="D111" i="10"/>
  <c r="F111" i="10" s="1"/>
  <c r="D110" i="10"/>
  <c r="F110" i="10" s="1"/>
  <c r="D109" i="10"/>
  <c r="F109" i="10" s="1"/>
  <c r="D107" i="10"/>
  <c r="F107" i="10" s="1"/>
  <c r="D106" i="10"/>
  <c r="F106" i="10" s="1"/>
  <c r="D102" i="10"/>
  <c r="F102" i="10" s="1"/>
  <c r="D100" i="10"/>
  <c r="F100" i="10" s="1"/>
  <c r="D99" i="10"/>
  <c r="F99" i="10" s="1"/>
  <c r="D98" i="10"/>
  <c r="F98" i="10" s="1"/>
  <c r="D97" i="10"/>
  <c r="F97" i="10" s="1"/>
  <c r="D93" i="10"/>
  <c r="F93" i="10" s="1"/>
  <c r="D89" i="10"/>
  <c r="F89" i="10" s="1"/>
  <c r="D74" i="10"/>
  <c r="F74" i="10" s="1"/>
  <c r="D70" i="10"/>
  <c r="F70" i="10" s="1"/>
  <c r="D69" i="10"/>
  <c r="F69" i="10" s="1"/>
  <c r="D65" i="10"/>
  <c r="F65" i="10" s="1"/>
  <c r="D64" i="10"/>
  <c r="F64" i="10" s="1"/>
  <c r="D63" i="10"/>
  <c r="F63" i="10" s="1"/>
  <c r="D62" i="10"/>
  <c r="F62" i="10" s="1"/>
  <c r="D61" i="10"/>
  <c r="F61" i="10" s="1"/>
  <c r="D60" i="10"/>
  <c r="F60" i="10" s="1"/>
  <c r="D58" i="10"/>
  <c r="F58" i="10" s="1"/>
  <c r="D54" i="10"/>
  <c r="F54" i="10" s="1"/>
  <c r="D53" i="10"/>
  <c r="F53" i="10" s="1"/>
  <c r="D49" i="10"/>
  <c r="F49" i="10" s="1"/>
  <c r="D48" i="10"/>
  <c r="F48" i="10" s="1"/>
  <c r="D47" i="10"/>
  <c r="F47" i="10" s="1"/>
  <c r="D46" i="10"/>
  <c r="F46" i="10" s="1"/>
  <c r="D45" i="10"/>
  <c r="F45" i="10" s="1"/>
  <c r="D44" i="10"/>
  <c r="F44" i="10" s="1"/>
  <c r="F234" i="10" l="1"/>
  <c r="F235" i="10" l="1"/>
  <c r="F236" i="10" s="1"/>
  <c r="G236" i="10" s="1"/>
</calcChain>
</file>

<file path=xl/sharedStrings.xml><?xml version="1.0" encoding="utf-8"?>
<sst xmlns="http://schemas.openxmlformats.org/spreadsheetml/2006/main" count="440" uniqueCount="141">
  <si>
    <t>Աշխատանքի անվանումը</t>
  </si>
  <si>
    <t>Քանակ</t>
  </si>
  <si>
    <t>N/N                      ը/կ</t>
  </si>
  <si>
    <t>Չափման միավոր</t>
  </si>
  <si>
    <t>1 միավ. ընդ.արժ. հազ.դր.</t>
  </si>
  <si>
    <t>Ընդհանուր արժեքը հազ. դր.</t>
  </si>
  <si>
    <t>Ընդամենը</t>
  </si>
  <si>
    <t>Ծավալաթերթ</t>
  </si>
  <si>
    <t>ԱԱՀ       20%</t>
  </si>
  <si>
    <t>մ</t>
  </si>
  <si>
    <r>
      <t>մ</t>
    </r>
    <r>
      <rPr>
        <sz val="12"/>
        <color theme="1"/>
        <rFont val="Calibri"/>
        <family val="2"/>
        <charset val="204"/>
      </rPr>
      <t>³</t>
    </r>
  </si>
  <si>
    <r>
      <t>100մ</t>
    </r>
    <r>
      <rPr>
        <sz val="12"/>
        <color theme="1"/>
        <rFont val="Calibri"/>
        <family val="2"/>
        <charset val="204"/>
      </rPr>
      <t>²</t>
    </r>
  </si>
  <si>
    <r>
      <t>մ</t>
    </r>
    <r>
      <rPr>
        <sz val="12"/>
        <color theme="1"/>
        <rFont val="Calibri"/>
        <family val="2"/>
        <charset val="204"/>
      </rPr>
      <t>²</t>
    </r>
  </si>
  <si>
    <t>կգ</t>
  </si>
  <si>
    <t>տն</t>
  </si>
  <si>
    <t>Խարիսխների տեղադրում</t>
  </si>
  <si>
    <t>Նույնը ձեռքով</t>
  </si>
  <si>
    <t>Բնահողի հետլիցք ձեռքով</t>
  </si>
  <si>
    <r>
      <rPr>
        <sz val="14"/>
        <color theme="1"/>
        <rFont val="Arial Armenian"/>
        <family val="2"/>
      </rPr>
      <t>III</t>
    </r>
    <r>
      <rPr>
        <sz val="12"/>
        <color theme="1"/>
        <rFont val="Arial Armenian"/>
        <family val="2"/>
      </rPr>
      <t xml:space="preserve"> կարգի բնահողի մշակում մեխանիզմով՝ բարձելով ինքնաթափին</t>
    </r>
  </si>
  <si>
    <t>Տեղափոխում 5կմ</t>
  </si>
  <si>
    <t>Բուտաբետոնե հիմքերի կառուցում Վ - 7.5 դասի բետոնից</t>
  </si>
  <si>
    <t>Բետոնե ցոկոլի կառուցում      Վ - 12.5 դասի բետոնից</t>
  </si>
  <si>
    <t>Ցոկոլի երեսպատում բազալտե սալերով 30մմ հաստ.</t>
  </si>
  <si>
    <t>Սյան կառուցում տուֆ քարից D=400մմ</t>
  </si>
  <si>
    <t>հատ</t>
  </si>
  <si>
    <t>Բնահողի տոփանում խճով, 100մմ հաստ.</t>
  </si>
  <si>
    <t>Պատի շարում տուֆ քարից D=200մմ</t>
  </si>
  <si>
    <t>Բազալտե գլխադիրների տեղադրում 5սմ հաստ., 0.3մ լայնությամբ</t>
  </si>
  <si>
    <t>Բազալտե գլխադիրների տեղադրում 5սմ հաստ., 0.5մ լայնությամբ</t>
  </si>
  <si>
    <t>Ցոկոլի ամրանավորում ամրանային ցանցով և ամրաններով</t>
  </si>
  <si>
    <t>Ամրանային ցանց Bp 100*100*4մմ</t>
  </si>
  <si>
    <t>Պատի և սյան հորիզոնական ցանցի տեղադրում</t>
  </si>
  <si>
    <t>Մետաղական թերթ</t>
  </si>
  <si>
    <t>Ավելորդ բնահողի փռում տեղում</t>
  </si>
  <si>
    <t>Մետաղական քառակուսի խողովակ 100*100*3մմ</t>
  </si>
  <si>
    <t>Մետաղական ուղղանկյուն խողովակ 60*40*3մմ</t>
  </si>
  <si>
    <t>Մետաղական քառակուսի խողովակ 10*10*1մմ</t>
  </si>
  <si>
    <t>Ծխնի</t>
  </si>
  <si>
    <t>Ամրան Ա - 500C    16մմ</t>
  </si>
  <si>
    <t>Պլաստպասե խցան 100*100</t>
  </si>
  <si>
    <t>Բռնակ</t>
  </si>
  <si>
    <t>Մետաղական էլեմենտների յուղաներկում (2 անգամ)</t>
  </si>
  <si>
    <r>
      <rPr>
        <sz val="14"/>
        <color theme="1"/>
        <rFont val="Arial Armenian"/>
        <family val="2"/>
      </rPr>
      <t>III</t>
    </r>
    <r>
      <rPr>
        <sz val="12"/>
        <color theme="1"/>
        <rFont val="Arial Armenian"/>
        <family val="2"/>
      </rPr>
      <t xml:space="preserve"> կարգի բնահողի մշակում ձեռքով</t>
    </r>
  </si>
  <si>
    <t>Մետաղական դռնակի հիմքերի բետոնացում Վ - 12.5 դասի բետոնից (600*600*600)</t>
  </si>
  <si>
    <t>Մետաղական դռնակ - 1 (2 հատ)</t>
  </si>
  <si>
    <t>Մետաղական դռնակի պատրաստում և տեղադրում</t>
  </si>
  <si>
    <t>Մետաղական դռնակ - 2</t>
  </si>
  <si>
    <t>Զրուցարան</t>
  </si>
  <si>
    <t>Մետաղական զրուցարանի  պատրաստում և տեղադրում</t>
  </si>
  <si>
    <t>Մետաղական քառակուսի խողովակ 100*100*4մմ</t>
  </si>
  <si>
    <t>Մետաղական ուղղանկյուն խողովակ 60*40*2մմ</t>
  </si>
  <si>
    <t>Մետաղական քառակուսի խողովակ 20*20*1մմ</t>
  </si>
  <si>
    <t>Խարսխային հեղույս  M10</t>
  </si>
  <si>
    <t>Մետաղական քառակուսի խողովակ 80*80*4մմ</t>
  </si>
  <si>
    <t>Մետաղական ֆերմայի  պատրաստում և տեղադրում</t>
  </si>
  <si>
    <t>Մետաղական քառակուսի խողովակ 70*70*4մմ</t>
  </si>
  <si>
    <t>Մետաղական ուղղանկյուն խողովակ 40*20*2մմ</t>
  </si>
  <si>
    <t>Փայտե նստարան - 1</t>
  </si>
  <si>
    <t>Նստարանի հիմքերի բետոնացում Վ - 7.5 դասի բետոնից</t>
  </si>
  <si>
    <t>Փայտե նստարանների կառուցում</t>
  </si>
  <si>
    <t>Տաշտաձև հեծան 6.5մմ</t>
  </si>
  <si>
    <t>Թերթավոր պողպատ</t>
  </si>
  <si>
    <t>Փայտե կոնստրուկցիաների լաքապատում, անգույն լաքով</t>
  </si>
  <si>
    <t>Մետաղական կոնստրուկցիաների յուղաներկում (2 անգամ)</t>
  </si>
  <si>
    <t>Պիպի կառուցում ցինկապատ թիթեղից, 0.5մմ հաստ.,  0.3մ լայնությամբ</t>
  </si>
  <si>
    <t>Ցինկապատ պրոֆիլավոր (գործարանային պայմաններում ներկված) թիթեղի տեղադրում  КП-21  0.5մմ հաստ.</t>
  </si>
  <si>
    <r>
      <t xml:space="preserve">Հեղույս   </t>
    </r>
    <r>
      <rPr>
        <sz val="14"/>
        <color theme="1"/>
        <rFont val="Californian FB"/>
        <family val="1"/>
      </rPr>
      <t>Ø</t>
    </r>
    <r>
      <rPr>
        <sz val="12"/>
        <color theme="1"/>
        <rFont val="Californian FB"/>
        <family val="1"/>
      </rPr>
      <t xml:space="preserve"> </t>
    </r>
    <r>
      <rPr>
        <sz val="12"/>
        <color theme="1"/>
        <rFont val="Arial Armenian"/>
        <family val="2"/>
      </rPr>
      <t>6</t>
    </r>
  </si>
  <si>
    <t>Փայտե նստարան - 2  (2 հատ)</t>
  </si>
  <si>
    <t>Քարե ցանկապատ</t>
  </si>
  <si>
    <t>Գոյություն ունեցող բուտաբետոնե հիմքերի քանդում՝ բարձելով ինքնաթափ մեքենային</t>
  </si>
  <si>
    <t>Գոյություն ունեցող մետաղական դռնակների ապամոնտաժում՝ հանձնելով պատվիրատուին</t>
  </si>
  <si>
    <r>
      <t>1000մ</t>
    </r>
    <r>
      <rPr>
        <sz val="12"/>
        <color theme="1"/>
        <rFont val="Calibri"/>
        <family val="2"/>
        <charset val="204"/>
      </rPr>
      <t>³</t>
    </r>
  </si>
  <si>
    <t>Գոյություն ունեցող բետոնե պատերի քանդում՝ բարձելով ինքնաթափ մեքենային</t>
  </si>
  <si>
    <t>Գոյություն ունեցող քարե պատերի քանդում՝ բարձելով ինքնաթափ մեքենային</t>
  </si>
  <si>
    <t>Ծածկույթներ</t>
  </si>
  <si>
    <t>Բուսահողի շերտի փռում 150մմ</t>
  </si>
  <si>
    <t>Կանաչապատում (սերմի ցանում)</t>
  </si>
  <si>
    <t>Ամրանավորված բետոնե նախաշերտի իրականացում Վ - 12.5 դասի բետոնից, 50մմ հաստ.</t>
  </si>
  <si>
    <t>Ամրանային ցանց  Br150*150*3մմ</t>
  </si>
  <si>
    <t>Ց/ա հարթեցուցիչ շերտի  կառուցում 30մմ հաստ.</t>
  </si>
  <si>
    <t>Հարթակի երեսպատում բազալտե սալերով 30մմ հաստ.</t>
  </si>
  <si>
    <t>Ներկրում 5կմ-ից</t>
  </si>
  <si>
    <t>Տարածքի համահարթեցում</t>
  </si>
  <si>
    <t>Վ - 15 դասի բետոնից հիմք (շպինգալետի համար)</t>
  </si>
  <si>
    <t>Մետաղական դարպասի և դռնակի պատրաստում և տեղադրում</t>
  </si>
  <si>
    <r>
      <t xml:space="preserve">Տաշտաձև հեծան    </t>
    </r>
    <r>
      <rPr>
        <sz val="14"/>
        <color theme="1"/>
        <rFont val="Arial Armenian"/>
        <family val="2"/>
      </rPr>
      <t xml:space="preserve"> [</t>
    </r>
    <r>
      <rPr>
        <sz val="12"/>
        <color theme="1"/>
        <rFont val="Arial Armenian"/>
        <family val="2"/>
      </rPr>
      <t xml:space="preserve"> 10</t>
    </r>
  </si>
  <si>
    <t>Շպինգալետ   (ամրան A - 500c    16մմ)</t>
  </si>
  <si>
    <t>Մետաղական խողովակ d=30*3մմ</t>
  </si>
  <si>
    <t>Գոյություն ունեցող բուտաբետոնե պատերի քանդում՝ բարձելով ինքնաթափ մեքենային</t>
  </si>
  <si>
    <t>Գոյություն ունեցող մետաղական կանգնակների ապամոնտաժում՝ հանձնելով պատվիրատուին</t>
  </si>
  <si>
    <t>Գոյություն ունեցող ցանկապատի բետոնե սալերի ապամոնտաժում՝ հանձնելով պատվիրատուին (5.0*1.5*0.15  - 19 հատ)</t>
  </si>
  <si>
    <t>Թիվ 1 գերեզման</t>
  </si>
  <si>
    <t>Թիվ 2 գերեզման</t>
  </si>
  <si>
    <t>Բետոնե բարձիկների իրականացում Վ - 12.5 դասի բետոնից, 100մմ հաստ.</t>
  </si>
  <si>
    <t>Բետոնե հիմքի կաոռւցում Վ-7.5 դասի բետոնից</t>
  </si>
  <si>
    <t>Մետաղական ցանկապատի մոնտաժում</t>
  </si>
  <si>
    <t>Մետաղական խողովակ d=76*3.5մմ</t>
  </si>
  <si>
    <t>Մետաղական անկյունակ 50*4մմ</t>
  </si>
  <si>
    <t>Ամրան A-500c   16մմ (կցորդիչ)</t>
  </si>
  <si>
    <t>Ամրան A-240c 6մմ</t>
  </si>
  <si>
    <t>Մետաղական ցանկապատի յուղաներկում (2 անգամ)</t>
  </si>
  <si>
    <t>Ցանցավոր ցանկապատ - 48 գծմ</t>
  </si>
  <si>
    <r>
      <t xml:space="preserve">Բնահողի մշակում </t>
    </r>
    <r>
      <rPr>
        <sz val="14"/>
        <color theme="1"/>
        <rFont val="Arial Armenian"/>
        <family val="2"/>
      </rPr>
      <t>III</t>
    </r>
    <r>
      <rPr>
        <sz val="12"/>
        <color theme="1"/>
        <rFont val="Arial Armenian"/>
        <family val="2"/>
      </rPr>
      <t xml:space="preserve"> կարգի գրունտում ձեռքով՝ բարձելով ինքնաթափին</t>
    </r>
  </si>
  <si>
    <t>Մետաղական ցանց"Ռաբիցա" տիպի 50*50*2 բջիջով</t>
  </si>
  <si>
    <t>Գույք</t>
  </si>
  <si>
    <t>Պլաստմասե աղբամաններ (գործարանային արտադրության) 660լ տարողությամբ</t>
  </si>
  <si>
    <t>Գոյություն ունեցող զրուցարանի վերանորոգում</t>
  </si>
  <si>
    <t>Գոյություն ունեցող մետաղական զրուցարանի վերանորոգում</t>
  </si>
  <si>
    <t>Գոյություն ունեցող զրուցարանի յուղաներկում՝ հին ներկի մաքրումով ( 2 անգամ )</t>
  </si>
  <si>
    <t>Մետաղական դռնակի և դարպասի վերանորոգում</t>
  </si>
  <si>
    <t>Գոյություն ունեցող դռնակի և դարպասի յուղաներկում՝ հին ներկի մաքրումով ( 2 անգամ )</t>
  </si>
  <si>
    <t>Աղբամանների տեղադրում (գործարանային արտադրության)</t>
  </si>
  <si>
    <t>ՀՀ  Լոռու  մարզի  Ստեփանավան  համայնքի  թիվ 1 և թիվ 2 գերեզմանատների ցանկապատի կառուցում</t>
  </si>
  <si>
    <t>Էլ. լուսավորություն</t>
  </si>
  <si>
    <t>100մմ նախապատրաստական շերտի լիցք տոփանումով տեղի միասեռ բնահողից (առանց շինարարական աղբ և խիճ)</t>
  </si>
  <si>
    <t>Հենասյուների բետոնացում  Վ - 12.5 դասի բետոնից</t>
  </si>
  <si>
    <t>Մետաղական հենասյուների տեղադրում (առանց նյութի արժեքի)</t>
  </si>
  <si>
    <t>100մ</t>
  </si>
  <si>
    <t>լրա կազմ</t>
  </si>
  <si>
    <t>Հողային աշխատանքներ</t>
  </si>
  <si>
    <r>
      <t>Բնահողի մշակում մեխանիզմով</t>
    </r>
    <r>
      <rPr>
        <sz val="14"/>
        <color theme="1"/>
        <rFont val="Arial Armenian"/>
        <family val="2"/>
      </rPr>
      <t xml:space="preserve"> IV</t>
    </r>
    <r>
      <rPr>
        <sz val="12"/>
        <color theme="1"/>
        <rFont val="Arial Armenian"/>
        <family val="2"/>
      </rPr>
      <t xml:space="preserve"> կարգի գրունտում</t>
    </r>
  </si>
  <si>
    <t>Նոր հենասյուներ</t>
  </si>
  <si>
    <t xml:space="preserve">Մետաղական խողովակ d=114*2.0մմ </t>
  </si>
  <si>
    <t xml:space="preserve">Մետաղական խողովակ d=108*4մմ </t>
  </si>
  <si>
    <t>Մետաղական խողովակ  d=76*3.5մմ</t>
  </si>
  <si>
    <t>Մետաղական խողովակ  d=48*3.0մմ</t>
  </si>
  <si>
    <t xml:space="preserve">Մետաղական անկյունակ 40*4մմ </t>
  </si>
  <si>
    <t>Ամրան A - 500c    16մմ</t>
  </si>
  <si>
    <t>Ամրան A - 500c    12մմ</t>
  </si>
  <si>
    <t>Ամրան A - 500c    10մմ</t>
  </si>
  <si>
    <r>
      <t xml:space="preserve">Մեկուսիչ </t>
    </r>
    <r>
      <rPr>
        <sz val="14"/>
        <color theme="1"/>
        <rFont val="Arial Armenian"/>
        <family val="2"/>
      </rPr>
      <t>ТФ</t>
    </r>
    <r>
      <rPr>
        <sz val="12"/>
        <color theme="1"/>
        <rFont val="Arial Armenian"/>
        <family val="2"/>
      </rPr>
      <t>-20</t>
    </r>
  </si>
  <si>
    <t>Մետաղական հենասյան յուղաներկում (2 անգամ) մոխրագույն</t>
  </si>
  <si>
    <r>
      <t>Ալյումինե հաղորդալարի անցկացում, կտրվածքը՝ 1*25մմ</t>
    </r>
    <r>
      <rPr>
        <sz val="12"/>
        <color theme="1"/>
        <rFont val="Calibri"/>
        <family val="2"/>
        <charset val="204"/>
      </rPr>
      <t xml:space="preserve">², </t>
    </r>
    <r>
      <rPr>
        <sz val="14"/>
        <color theme="1"/>
        <rFont val="Calibri"/>
        <family val="2"/>
        <charset val="204"/>
      </rPr>
      <t xml:space="preserve">ПАВ </t>
    </r>
    <r>
      <rPr>
        <sz val="14"/>
        <color theme="1"/>
        <rFont val="Arial Armenian"/>
        <family val="2"/>
      </rPr>
      <t>(АПВ)</t>
    </r>
  </si>
  <si>
    <r>
      <t>Ալյումինե հաղորդալարի անցկացում, կտրվածքը՝ 1*2.5մմ</t>
    </r>
    <r>
      <rPr>
        <sz val="12"/>
        <color theme="1"/>
        <rFont val="Calibri"/>
        <family val="2"/>
        <charset val="204"/>
      </rPr>
      <t xml:space="preserve">², </t>
    </r>
    <r>
      <rPr>
        <sz val="14"/>
        <color theme="1"/>
        <rFont val="Calibri"/>
        <family val="2"/>
        <charset val="204"/>
      </rPr>
      <t>ПАВ (АПВ)</t>
    </r>
  </si>
  <si>
    <r>
      <t>Ճյուղավորման սեխմակ     16-35/16-25մմ</t>
    </r>
    <r>
      <rPr>
        <sz val="12"/>
        <color theme="1"/>
        <rFont val="Calibri"/>
        <family val="2"/>
        <charset val="204"/>
      </rPr>
      <t>²</t>
    </r>
    <r>
      <rPr>
        <sz val="12"/>
        <color theme="1"/>
        <rFont val="Arial Armenian"/>
        <family val="2"/>
      </rPr>
      <t xml:space="preserve"> </t>
    </r>
    <r>
      <rPr>
        <sz val="14"/>
        <color theme="1"/>
        <rFont val="Calibri"/>
        <family val="2"/>
        <charset val="204"/>
      </rPr>
      <t>У734М</t>
    </r>
  </si>
  <si>
    <t>Փողոցային լուսավորության լուսադիոդային լուսատուի տեղադրում 180-265Վ, 75Վտ, 10500Լմ, ոչ պակաս 140լմ/Վտ, 4000-5000Կ, IP66, երաշխիք 36ամիս</t>
  </si>
  <si>
    <t>Վերանորոգվող հենասյուներ</t>
  </si>
  <si>
    <t>Հենասյան ապամոնտաժում բարձում մեքենային</t>
  </si>
  <si>
    <t>Նյութեր և սարքավորումներ</t>
  </si>
  <si>
    <t>Բուսահողի բարձում մեխանիզմով ինքնաթափին</t>
  </si>
  <si>
    <t>*1,133*1,11*1,015*1,012*1,015*1,0015*1,015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</si>
</sst>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6" formatCode="0.00000"/>
    <numFmt numFmtId="167" formatCode="0.0000"/>
    <numFmt numFmtId="169" formatCode="0.0"/>
  </numFmts>
  <fonts count="14">
    <font>
      <sz val="11"/>
      <color theme="1"/>
      <name val="Calibri"/>
      <family val="2"/>
      <scheme val="minor"/>
    </font>
    <font>
      <sz val="12"/>
      <color theme="1"/>
      <name val="Arial Armenian"/>
      <family val="2"/>
    </font>
    <font>
      <b/>
      <sz val="20"/>
      <color theme="1"/>
      <name val="Arial Armenian"/>
      <family val="2"/>
    </font>
    <font>
      <b/>
      <sz val="12"/>
      <color theme="1"/>
      <name val="Arial Armenian"/>
      <family val="2"/>
    </font>
    <font>
      <sz val="12"/>
      <color theme="1"/>
      <name val="Calibri"/>
      <family val="2"/>
      <charset val="204"/>
    </font>
    <font>
      <b/>
      <sz val="18"/>
      <color theme="1"/>
      <name val="Arial Armenian"/>
      <family val="2"/>
    </font>
    <font>
      <sz val="14"/>
      <color theme="1"/>
      <name val="Arial Armenian"/>
      <family val="2"/>
    </font>
    <font>
      <sz val="12"/>
      <name val="Arial Armenian"/>
      <family val="2"/>
    </font>
    <font>
      <sz val="12"/>
      <color theme="1"/>
      <name val="Arial Armenian"/>
      <family val="2"/>
      <charset val="204"/>
    </font>
    <font>
      <b/>
      <sz val="14"/>
      <color theme="1"/>
      <name val="Arial Armenian"/>
      <family val="2"/>
    </font>
    <font>
      <sz val="11"/>
      <color theme="1"/>
      <name val="Arial Armenian"/>
      <family val="2"/>
    </font>
    <font>
      <sz val="12"/>
      <color theme="1"/>
      <name val="Californian FB"/>
      <family val="1"/>
    </font>
    <font>
      <sz val="14"/>
      <color theme="1"/>
      <name val="Californian FB"/>
      <family val="1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6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tabSelected="1" topLeftCell="A222" workbookViewId="0">
      <selection activeCell="D19" sqref="D19"/>
    </sheetView>
  </sheetViews>
  <sheetFormatPr defaultRowHeight="15"/>
  <cols>
    <col min="1" max="1" width="5.42578125" style="1" customWidth="1"/>
    <col min="2" max="2" width="48.7109375" style="1" customWidth="1"/>
    <col min="3" max="3" width="9.28515625" style="1" customWidth="1"/>
    <col min="4" max="4" width="12.140625" style="1" customWidth="1"/>
    <col min="5" max="5" width="11" style="1" customWidth="1"/>
    <col min="6" max="6" width="14.28515625" style="1" customWidth="1"/>
    <col min="7" max="7" width="13" style="1" customWidth="1"/>
    <col min="8" max="16384" width="9.140625" style="1"/>
  </cols>
  <sheetData>
    <row r="1" spans="1:7" ht="26.25" customHeight="1">
      <c r="A1" s="48" t="s">
        <v>7</v>
      </c>
      <c r="B1" s="48"/>
      <c r="C1" s="48"/>
      <c r="D1" s="48"/>
      <c r="E1" s="48"/>
      <c r="F1" s="48"/>
    </row>
    <row r="2" spans="1:7" ht="79.5" customHeight="1">
      <c r="A2" s="54" t="s">
        <v>112</v>
      </c>
      <c r="B2" s="54"/>
      <c r="C2" s="54"/>
      <c r="D2" s="54"/>
      <c r="E2" s="54"/>
      <c r="F2" s="54"/>
    </row>
    <row r="3" spans="1:7" ht="10.5" customHeight="1" thickBot="1">
      <c r="A3" s="9"/>
      <c r="B3" s="9"/>
      <c r="C3" s="9"/>
      <c r="D3" s="9"/>
      <c r="E3" s="9"/>
      <c r="F3" s="9"/>
    </row>
    <row r="4" spans="1:7" s="2" customFormat="1" ht="18.75" customHeight="1">
      <c r="A4" s="10"/>
      <c r="B4" s="11"/>
      <c r="C4" s="11"/>
      <c r="D4" s="11"/>
      <c r="E4" s="50" t="s">
        <v>4</v>
      </c>
      <c r="F4" s="51" t="s">
        <v>5</v>
      </c>
    </row>
    <row r="5" spans="1:7" s="2" customFormat="1" ht="18.75" customHeight="1">
      <c r="A5" s="56" t="s">
        <v>2</v>
      </c>
      <c r="B5" s="49" t="s">
        <v>0</v>
      </c>
      <c r="C5" s="49" t="s">
        <v>3</v>
      </c>
      <c r="D5" s="49" t="s">
        <v>1</v>
      </c>
      <c r="E5" s="49"/>
      <c r="F5" s="52"/>
    </row>
    <row r="6" spans="1:7" s="2" customFormat="1" ht="18.75" customHeight="1">
      <c r="A6" s="56"/>
      <c r="B6" s="49"/>
      <c r="C6" s="49"/>
      <c r="D6" s="49"/>
      <c r="E6" s="49"/>
      <c r="F6" s="52"/>
    </row>
    <row r="7" spans="1:7" s="2" customFormat="1" ht="18.75" customHeight="1">
      <c r="A7" s="12"/>
      <c r="B7" s="3"/>
      <c r="C7" s="49"/>
      <c r="D7" s="3"/>
      <c r="E7" s="49"/>
      <c r="F7" s="52"/>
    </row>
    <row r="8" spans="1:7" s="2" customFormat="1" ht="18.75" customHeight="1">
      <c r="A8" s="13"/>
      <c r="B8" s="4"/>
      <c r="C8" s="4"/>
      <c r="D8" s="4"/>
      <c r="E8" s="53"/>
      <c r="F8" s="55"/>
    </row>
    <row r="9" spans="1:7" ht="18.75" customHeight="1" thickBo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6">
        <v>6</v>
      </c>
      <c r="G9" s="1" t="s">
        <v>140</v>
      </c>
    </row>
    <row r="10" spans="1:7" ht="24" customHeight="1">
      <c r="A10" s="20"/>
      <c r="B10" s="45" t="s">
        <v>91</v>
      </c>
      <c r="C10" s="23"/>
      <c r="D10" s="24"/>
      <c r="E10" s="6"/>
      <c r="F10" s="6"/>
    </row>
    <row r="11" spans="1:7" ht="25.5" customHeight="1">
      <c r="A11" s="42"/>
      <c r="B11" s="27" t="s">
        <v>68</v>
      </c>
      <c r="C11" s="35"/>
      <c r="D11" s="35"/>
      <c r="E11" s="6"/>
      <c r="F11" s="6"/>
    </row>
    <row r="12" spans="1:7" ht="36" customHeight="1">
      <c r="A12" s="42">
        <f>1+A11</f>
        <v>1</v>
      </c>
      <c r="B12" s="36" t="s">
        <v>69</v>
      </c>
      <c r="C12" s="34" t="s">
        <v>10</v>
      </c>
      <c r="D12" s="46">
        <v>29.5</v>
      </c>
      <c r="E12" s="6">
        <f>14.021006*1.133*1.11*1.015*1.012*1.015*1.0015*1.015</f>
        <v>18.687949708099307</v>
      </c>
      <c r="F12" s="6">
        <f>E12*D12</f>
        <v>551.29451638892954</v>
      </c>
    </row>
    <row r="13" spans="1:7" ht="36" customHeight="1">
      <c r="A13" s="42">
        <f t="shared" ref="A13:A76" si="0">1+A12</f>
        <v>2</v>
      </c>
      <c r="B13" s="36" t="s">
        <v>72</v>
      </c>
      <c r="C13" s="34" t="s">
        <v>10</v>
      </c>
      <c r="D13" s="46">
        <v>19.5</v>
      </c>
      <c r="E13" s="6">
        <f>22.338322*1.133*1.11*1.015*1.012*1.015*1.0015*1.015</f>
        <v>29.773715102848421</v>
      </c>
      <c r="F13" s="6">
        <f t="shared" ref="F13:F76" si="1">E13*D13</f>
        <v>580.58744450554423</v>
      </c>
    </row>
    <row r="14" spans="1:7" ht="36" customHeight="1">
      <c r="A14" s="42">
        <f t="shared" si="0"/>
        <v>3</v>
      </c>
      <c r="B14" s="36" t="s">
        <v>73</v>
      </c>
      <c r="C14" s="34" t="s">
        <v>10</v>
      </c>
      <c r="D14" s="46">
        <v>23.5</v>
      </c>
      <c r="E14" s="6">
        <f>14.805899*1.133*1.11*1.015*1.012*1.015*1.0015*1.015</f>
        <v>19.734097246317258</v>
      </c>
      <c r="F14" s="6">
        <f t="shared" si="1"/>
        <v>463.75128528845556</v>
      </c>
    </row>
    <row r="15" spans="1:7" ht="48" customHeight="1">
      <c r="A15" s="42">
        <f t="shared" si="0"/>
        <v>4</v>
      </c>
      <c r="B15" s="36" t="s">
        <v>70</v>
      </c>
      <c r="C15" s="42" t="s">
        <v>24</v>
      </c>
      <c r="D15" s="31">
        <v>3</v>
      </c>
      <c r="E15" s="6">
        <f>6.24244185*1.133*1.11*1.015*1.012*1.015*1.0015*1.015</f>
        <v>8.3202617093619651</v>
      </c>
      <c r="F15" s="6">
        <f t="shared" si="1"/>
        <v>24.960785128085895</v>
      </c>
    </row>
    <row r="16" spans="1:7" ht="36" customHeight="1">
      <c r="A16" s="42">
        <f t="shared" si="0"/>
        <v>5</v>
      </c>
      <c r="B16" s="21" t="s">
        <v>18</v>
      </c>
      <c r="C16" s="34" t="s">
        <v>71</v>
      </c>
      <c r="D16" s="38">
        <v>0.1196</v>
      </c>
      <c r="E16" s="6">
        <f>687.3357006*1.133*1.11*1.015*1.012*1.015*1.0015*1.015</f>
        <v>916.11793086701493</v>
      </c>
      <c r="F16" s="6">
        <f t="shared" si="1"/>
        <v>109.56770453169499</v>
      </c>
    </row>
    <row r="17" spans="1:6" ht="25.5" customHeight="1">
      <c r="A17" s="42">
        <f t="shared" si="0"/>
        <v>6</v>
      </c>
      <c r="B17" s="21" t="s">
        <v>16</v>
      </c>
      <c r="C17" s="42" t="s">
        <v>10</v>
      </c>
      <c r="D17" s="25">
        <v>37.299999999999997</v>
      </c>
      <c r="E17" s="6">
        <f>2.877941*1.133*1.11*1.015*1.012*1.015*1.0015*1.015</f>
        <v>3.8358743067991714</v>
      </c>
      <c r="F17" s="6">
        <f t="shared" si="1"/>
        <v>143.07811164360908</v>
      </c>
    </row>
    <row r="18" spans="1:6" ht="25.5" customHeight="1">
      <c r="A18" s="42">
        <f t="shared" si="0"/>
        <v>7</v>
      </c>
      <c r="B18" s="21" t="s">
        <v>17</v>
      </c>
      <c r="C18" s="42" t="s">
        <v>10</v>
      </c>
      <c r="D18" s="25">
        <v>66.7</v>
      </c>
      <c r="E18" s="6">
        <f>1.47036622*1.133*1.11*1.015*1.012*1.015*1.0015*1.015</f>
        <v>1.9597830549283042</v>
      </c>
      <c r="F18" s="6">
        <f t="shared" si="1"/>
        <v>130.71752976371789</v>
      </c>
    </row>
    <row r="19" spans="1:6" ht="25.5" customHeight="1">
      <c r="A19" s="42">
        <f t="shared" si="0"/>
        <v>8</v>
      </c>
      <c r="B19" s="21" t="s">
        <v>19</v>
      </c>
      <c r="C19" s="42" t="s">
        <v>14</v>
      </c>
      <c r="D19" s="29">
        <v>297.87200000000001</v>
      </c>
      <c r="E19" s="6">
        <f>0.3336*1.133*1.11*1.015*1.012*1.015*1.0015*1.015</f>
        <v>0.44463999392211434</v>
      </c>
      <c r="F19" s="6">
        <f t="shared" si="1"/>
        <v>132.44580426956804</v>
      </c>
    </row>
    <row r="20" spans="1:6" ht="25.5" customHeight="1">
      <c r="A20" s="42">
        <f t="shared" si="0"/>
        <v>9</v>
      </c>
      <c r="B20" s="21" t="s">
        <v>25</v>
      </c>
      <c r="C20" s="42" t="s">
        <v>11</v>
      </c>
      <c r="D20" s="25">
        <v>2.0649999999999999</v>
      </c>
      <c r="E20" s="6">
        <f>31.486644096*1.133*1.11*1.015*1.012*1.015*1.0015*1.015</f>
        <v>41.967090046382545</v>
      </c>
      <c r="F20" s="6">
        <f t="shared" si="1"/>
        <v>86.66204094577995</v>
      </c>
    </row>
    <row r="21" spans="1:6" ht="36" customHeight="1">
      <c r="A21" s="42">
        <f t="shared" si="0"/>
        <v>10</v>
      </c>
      <c r="B21" s="21" t="s">
        <v>20</v>
      </c>
      <c r="C21" s="42" t="s">
        <v>10</v>
      </c>
      <c r="D21" s="25">
        <v>92.75</v>
      </c>
      <c r="E21" s="6">
        <f>33.255367819799*1.133*1.11*1.015*1.012*1.015*1.0015*1.015</f>
        <v>44.324540003816267</v>
      </c>
      <c r="F21" s="6">
        <f t="shared" si="1"/>
        <v>4111.1010853539592</v>
      </c>
    </row>
    <row r="22" spans="1:6" ht="36" customHeight="1">
      <c r="A22" s="42">
        <f t="shared" si="0"/>
        <v>11</v>
      </c>
      <c r="B22" s="21" t="s">
        <v>21</v>
      </c>
      <c r="C22" s="42" t="s">
        <v>10</v>
      </c>
      <c r="D22" s="25">
        <v>24.45</v>
      </c>
      <c r="E22" s="6">
        <f>42.2536462528716*1.133*1.11*1.015*1.012*1.015*1.0015*1.015</f>
        <v>56.317928696234993</v>
      </c>
      <c r="F22" s="6">
        <f t="shared" si="1"/>
        <v>1376.9733566229456</v>
      </c>
    </row>
    <row r="23" spans="1:6" ht="25.5" customHeight="1">
      <c r="A23" s="42">
        <f t="shared" si="0"/>
        <v>12</v>
      </c>
      <c r="B23" s="21" t="s">
        <v>23</v>
      </c>
      <c r="C23" s="42" t="s">
        <v>10</v>
      </c>
      <c r="D23" s="25">
        <v>29.12</v>
      </c>
      <c r="E23" s="6">
        <f>26.209017352308*1.133*1.11*1.015*1.012*1.015*1.0015*1.015</f>
        <v>34.932785720128358</v>
      </c>
      <c r="F23" s="6">
        <f t="shared" si="1"/>
        <v>1017.2427201701378</v>
      </c>
    </row>
    <row r="24" spans="1:6" ht="25.5" customHeight="1">
      <c r="A24" s="42">
        <f t="shared" si="0"/>
        <v>13</v>
      </c>
      <c r="B24" s="21" t="s">
        <v>26</v>
      </c>
      <c r="C24" s="42" t="s">
        <v>10</v>
      </c>
      <c r="D24" s="25">
        <v>67.099999999999994</v>
      </c>
      <c r="E24" s="6">
        <f>26.209017352308*1.133*1.11*1.015*1.012*1.015*1.0015*1.015</f>
        <v>34.932785720128358</v>
      </c>
      <c r="F24" s="6">
        <f t="shared" si="1"/>
        <v>2343.9899218206128</v>
      </c>
    </row>
    <row r="25" spans="1:6" ht="36" customHeight="1">
      <c r="A25" s="42">
        <f t="shared" si="0"/>
        <v>14</v>
      </c>
      <c r="B25" s="21" t="s">
        <v>27</v>
      </c>
      <c r="C25" s="42" t="s">
        <v>12</v>
      </c>
      <c r="D25" s="29">
        <v>79.05</v>
      </c>
      <c r="E25" s="6">
        <f>24.3558606094*1.133*1.11*1.015*1.012*1.015*1.0015*1.015</f>
        <v>32.462798900873743</v>
      </c>
      <c r="F25" s="6">
        <f t="shared" si="1"/>
        <v>2566.1842531140692</v>
      </c>
    </row>
    <row r="26" spans="1:6" ht="36" customHeight="1">
      <c r="A26" s="42">
        <f t="shared" si="0"/>
        <v>15</v>
      </c>
      <c r="B26" s="21" t="s">
        <v>28</v>
      </c>
      <c r="C26" s="42" t="s">
        <v>12</v>
      </c>
      <c r="D26" s="31">
        <v>30</v>
      </c>
      <c r="E26" s="6">
        <f>24.3558606094*1.133*1.11*1.015*1.012*1.015*1.0015*1.015</f>
        <v>32.462798900873743</v>
      </c>
      <c r="F26" s="6">
        <f t="shared" si="1"/>
        <v>973.8839670262123</v>
      </c>
    </row>
    <row r="27" spans="1:6" ht="36" customHeight="1">
      <c r="A27" s="42">
        <f t="shared" si="0"/>
        <v>16</v>
      </c>
      <c r="B27" s="21" t="s">
        <v>22</v>
      </c>
      <c r="C27" s="42" t="s">
        <v>12</v>
      </c>
      <c r="D27" s="26">
        <v>122.5</v>
      </c>
      <c r="E27" s="6">
        <f>23.164534200652*1.133*1.11*1.015*1.012*1.015*1.0015*1.015</f>
        <v>30.87493509048716</v>
      </c>
      <c r="F27" s="6">
        <f t="shared" si="1"/>
        <v>3782.1795485846769</v>
      </c>
    </row>
    <row r="28" spans="1:6" ht="36" customHeight="1">
      <c r="A28" s="42">
        <f t="shared" si="0"/>
        <v>17</v>
      </c>
      <c r="B28" s="21" t="s">
        <v>29</v>
      </c>
      <c r="C28" s="42" t="s">
        <v>14</v>
      </c>
      <c r="D28" s="30">
        <v>0.79110000000000003</v>
      </c>
      <c r="E28" s="6">
        <f>321.935482226726*1.133*1.11*1.015*1.012*1.015*1.0015*1.015</f>
        <v>429.09289826320264</v>
      </c>
      <c r="F28" s="6">
        <f t="shared" si="1"/>
        <v>339.45539181601964</v>
      </c>
    </row>
    <row r="29" spans="1:6" ht="25.5" customHeight="1">
      <c r="A29" s="42">
        <f t="shared" si="0"/>
        <v>18</v>
      </c>
      <c r="B29" s="21" t="s">
        <v>30</v>
      </c>
      <c r="C29" s="42" t="s">
        <v>12</v>
      </c>
      <c r="D29" s="25">
        <v>122.5</v>
      </c>
      <c r="E29" s="6">
        <f>0.874980225*1.133*1.11*1.015*1.012*1.015*1.0015*1.015</f>
        <v>1.166220629274491</v>
      </c>
      <c r="F29" s="6">
        <f t="shared" si="1"/>
        <v>142.86202708612515</v>
      </c>
    </row>
    <row r="30" spans="1:6" ht="36" customHeight="1">
      <c r="A30" s="42">
        <f t="shared" si="0"/>
        <v>19</v>
      </c>
      <c r="B30" s="21" t="s">
        <v>31</v>
      </c>
      <c r="C30" s="42" t="s">
        <v>14</v>
      </c>
      <c r="D30" s="28">
        <v>0.64715</v>
      </c>
      <c r="E30" s="6">
        <f>386.765912604219*1.133*1.11*1.015*1.012*1.015*1.0015*1.015</f>
        <v>515.50237718711321</v>
      </c>
      <c r="F30" s="6">
        <f t="shared" si="1"/>
        <v>333.60736339664032</v>
      </c>
    </row>
    <row r="31" spans="1:6" ht="25.5" customHeight="1">
      <c r="A31" s="42">
        <f t="shared" si="0"/>
        <v>20</v>
      </c>
      <c r="B31" s="21" t="s">
        <v>15</v>
      </c>
      <c r="C31" s="42" t="s">
        <v>14</v>
      </c>
      <c r="D31" s="25">
        <v>0.17499999999999999</v>
      </c>
      <c r="E31" s="6">
        <f>384.464562699*1.133*1.11*1.015*1.012*1.015*1.0015*1.015</f>
        <v>512.43501445369213</v>
      </c>
      <c r="F31" s="6">
        <f t="shared" si="1"/>
        <v>89.676127529396112</v>
      </c>
    </row>
    <row r="32" spans="1:6" ht="25.5" customHeight="1">
      <c r="A32" s="42"/>
      <c r="B32" s="27" t="s">
        <v>74</v>
      </c>
      <c r="C32" s="35"/>
      <c r="D32" s="37"/>
      <c r="E32" s="6"/>
      <c r="F32" s="6"/>
    </row>
    <row r="33" spans="1:6" ht="36" customHeight="1">
      <c r="A33" s="42">
        <f t="shared" si="0"/>
        <v>1</v>
      </c>
      <c r="B33" s="21" t="s">
        <v>139</v>
      </c>
      <c r="C33" s="34" t="s">
        <v>71</v>
      </c>
      <c r="D33" s="38">
        <v>7.2499999999999995E-2</v>
      </c>
      <c r="E33" s="6">
        <f>687.3357006*1.133*1.11*1.015*1.012*1.015*1.0015*1.015</f>
        <v>916.11793086701493</v>
      </c>
      <c r="F33" s="6">
        <f t="shared" si="1"/>
        <v>66.418549987858583</v>
      </c>
    </row>
    <row r="34" spans="1:6" ht="25.5" customHeight="1">
      <c r="A34" s="42">
        <f t="shared" si="0"/>
        <v>2</v>
      </c>
      <c r="B34" s="21" t="s">
        <v>81</v>
      </c>
      <c r="C34" s="42" t="s">
        <v>14</v>
      </c>
      <c r="D34" s="31">
        <v>138</v>
      </c>
      <c r="E34" s="6">
        <f>0.3336*1.133*1.11*1.015*1.012*1.015*1.0015*1.015</f>
        <v>0.44463999392211434</v>
      </c>
      <c r="F34" s="6">
        <f t="shared" si="1"/>
        <v>61.36031916125178</v>
      </c>
    </row>
    <row r="35" spans="1:6" ht="25.5" customHeight="1">
      <c r="A35" s="42">
        <f t="shared" si="0"/>
        <v>3</v>
      </c>
      <c r="B35" s="21" t="s">
        <v>82</v>
      </c>
      <c r="C35" s="42" t="s">
        <v>11</v>
      </c>
      <c r="D35" s="39">
        <v>4.8499999999999996</v>
      </c>
      <c r="E35" s="6">
        <f>0.43307574*1.133*1.11*1.015*1.012*1.015*1.0015*1.015</f>
        <v>0.57722660192270714</v>
      </c>
      <c r="F35" s="6">
        <f t="shared" si="1"/>
        <v>2.7995490193251293</v>
      </c>
    </row>
    <row r="36" spans="1:6" ht="25.5" customHeight="1">
      <c r="A36" s="42">
        <f t="shared" si="0"/>
        <v>4</v>
      </c>
      <c r="B36" s="21" t="s">
        <v>75</v>
      </c>
      <c r="C36" s="42" t="s">
        <v>12</v>
      </c>
      <c r="D36" s="25">
        <v>483.5</v>
      </c>
      <c r="E36" s="6">
        <f>0.57820451*1.133*1.11*1.015*1.012*1.015*1.0015*1.015</f>
        <v>0.7706620198205606</v>
      </c>
      <c r="F36" s="6">
        <f t="shared" si="1"/>
        <v>372.61508658324107</v>
      </c>
    </row>
    <row r="37" spans="1:6" ht="25.5" customHeight="1">
      <c r="A37" s="42">
        <f t="shared" si="0"/>
        <v>5</v>
      </c>
      <c r="B37" s="21" t="s">
        <v>76</v>
      </c>
      <c r="C37" s="42" t="s">
        <v>11</v>
      </c>
      <c r="D37" s="25">
        <v>4.835</v>
      </c>
      <c r="E37" s="6">
        <f>10.88136737*1.133*1.11*1.015*1.012*1.015*1.0015*1.015</f>
        <v>14.503270747185534</v>
      </c>
      <c r="F37" s="6">
        <f t="shared" si="1"/>
        <v>70.123314062642052</v>
      </c>
    </row>
    <row r="38" spans="1:6" ht="25.5" customHeight="1">
      <c r="A38" s="42">
        <f t="shared" si="0"/>
        <v>6</v>
      </c>
      <c r="B38" s="21" t="s">
        <v>25</v>
      </c>
      <c r="C38" s="42" t="s">
        <v>11</v>
      </c>
      <c r="D38" s="25">
        <v>0.26</v>
      </c>
      <c r="E38" s="6">
        <f>31.486644096*1.133*1.11*1.015*1.012*1.015*1.0015*1.015</f>
        <v>41.967090046382545</v>
      </c>
      <c r="F38" s="6">
        <f t="shared" si="1"/>
        <v>10.911443412059462</v>
      </c>
    </row>
    <row r="39" spans="1:6" ht="46.5" customHeight="1">
      <c r="A39" s="42">
        <f t="shared" si="0"/>
        <v>7</v>
      </c>
      <c r="B39" s="21" t="s">
        <v>77</v>
      </c>
      <c r="C39" s="42" t="s">
        <v>10</v>
      </c>
      <c r="D39" s="25">
        <v>1.3</v>
      </c>
      <c r="E39" s="6">
        <f>35.177722956*1.133*1.11*1.015*1.012*1.015*1.0015*1.015</f>
        <v>46.886758157522969</v>
      </c>
      <c r="F39" s="6">
        <f t="shared" si="1"/>
        <v>60.952785604779862</v>
      </c>
    </row>
    <row r="40" spans="1:6" ht="25.5" customHeight="1">
      <c r="A40" s="42">
        <f t="shared" si="0"/>
        <v>8</v>
      </c>
      <c r="B40" s="21" t="s">
        <v>78</v>
      </c>
      <c r="C40" s="42" t="s">
        <v>12</v>
      </c>
      <c r="D40" s="31">
        <v>26</v>
      </c>
      <c r="E40" s="6">
        <f>0.3406589676*1.133*1.11*1.015*1.012*1.015*1.0015*1.015</f>
        <v>0.45404856499753526</v>
      </c>
      <c r="F40" s="6">
        <f t="shared" si="1"/>
        <v>11.805262689935917</v>
      </c>
    </row>
    <row r="41" spans="1:6" ht="36" customHeight="1">
      <c r="A41" s="42">
        <f t="shared" si="0"/>
        <v>9</v>
      </c>
      <c r="B41" s="21" t="s">
        <v>79</v>
      </c>
      <c r="C41" s="42" t="s">
        <v>11</v>
      </c>
      <c r="D41" s="25">
        <v>0.35</v>
      </c>
      <c r="E41" s="6">
        <f>122.144208909*1.133*1.11*1.015*1.012*1.015*1.0015*1.015</f>
        <v>162.80036063225182</v>
      </c>
      <c r="F41" s="6">
        <f t="shared" si="1"/>
        <v>56.980126221288131</v>
      </c>
    </row>
    <row r="42" spans="1:6" ht="36" customHeight="1">
      <c r="A42" s="42">
        <f t="shared" si="0"/>
        <v>10</v>
      </c>
      <c r="B42" s="21" t="s">
        <v>80</v>
      </c>
      <c r="C42" s="42" t="s">
        <v>12</v>
      </c>
      <c r="D42" s="25">
        <v>35</v>
      </c>
      <c r="E42" s="6">
        <f>12.4147252169*1.133*1.11*1.015*1.012*1.015*1.0015*1.015</f>
        <v>16.547012425021393</v>
      </c>
      <c r="F42" s="6">
        <f t="shared" si="1"/>
        <v>579.14543487574872</v>
      </c>
    </row>
    <row r="43" spans="1:6" ht="25.5" customHeight="1">
      <c r="A43" s="42"/>
      <c r="B43" s="27" t="s">
        <v>44</v>
      </c>
      <c r="C43" s="35"/>
      <c r="D43" s="37"/>
      <c r="E43" s="6"/>
      <c r="F43" s="6"/>
    </row>
    <row r="44" spans="1:6" ht="25.5" customHeight="1">
      <c r="A44" s="42">
        <f t="shared" si="0"/>
        <v>1</v>
      </c>
      <c r="B44" s="21" t="s">
        <v>42</v>
      </c>
      <c r="C44" s="42" t="s">
        <v>10</v>
      </c>
      <c r="D44" s="25">
        <f>0.8*2</f>
        <v>1.6</v>
      </c>
      <c r="E44" s="6">
        <f>2.877941*1.133*1.11*1.015*1.012*1.015*1.0015*1.015</f>
        <v>3.8358743067991714</v>
      </c>
      <c r="F44" s="6">
        <f t="shared" si="1"/>
        <v>6.137398890878675</v>
      </c>
    </row>
    <row r="45" spans="1:6" ht="25.5" customHeight="1">
      <c r="A45" s="42">
        <f t="shared" si="0"/>
        <v>2</v>
      </c>
      <c r="B45" s="21" t="s">
        <v>17</v>
      </c>
      <c r="C45" s="42" t="s">
        <v>10</v>
      </c>
      <c r="D45" s="25">
        <f>0.24*2</f>
        <v>0.48</v>
      </c>
      <c r="E45" s="6">
        <f>1.47036622*1.133*1.11*1.015*1.012*1.015*1.0015*1.015</f>
        <v>1.9597830549283042</v>
      </c>
      <c r="F45" s="6">
        <f t="shared" si="1"/>
        <v>0.940695866365586</v>
      </c>
    </row>
    <row r="46" spans="1:6" ht="25.5" customHeight="1">
      <c r="A46" s="42">
        <f t="shared" si="0"/>
        <v>3</v>
      </c>
      <c r="B46" s="21" t="s">
        <v>33</v>
      </c>
      <c r="C46" s="42" t="s">
        <v>10</v>
      </c>
      <c r="D46" s="25">
        <f>0.56*2</f>
        <v>1.1200000000000001</v>
      </c>
      <c r="E46" s="6">
        <f>1.47036622*1.133*1.11*1.015*1.012*1.015*1.0015*1.015</f>
        <v>1.9597830549283042</v>
      </c>
      <c r="F46" s="6">
        <f t="shared" si="1"/>
        <v>2.1949570215197007</v>
      </c>
    </row>
    <row r="47" spans="1:6" ht="25.5" customHeight="1">
      <c r="A47" s="42">
        <f t="shared" si="0"/>
        <v>4</v>
      </c>
      <c r="B47" s="21" t="s">
        <v>25</v>
      </c>
      <c r="C47" s="42" t="s">
        <v>11</v>
      </c>
      <c r="D47" s="25">
        <f>0.0128*2</f>
        <v>2.5600000000000001E-2</v>
      </c>
      <c r="E47" s="6">
        <f>31.486644096*1.133*1.11*1.015*1.012*1.015*1.0015*1.015</f>
        <v>41.967090046382545</v>
      </c>
      <c r="F47" s="6">
        <f t="shared" si="1"/>
        <v>1.0743575051873933</v>
      </c>
    </row>
    <row r="48" spans="1:6" ht="36" customHeight="1">
      <c r="A48" s="42">
        <f t="shared" si="0"/>
        <v>5</v>
      </c>
      <c r="B48" s="21" t="s">
        <v>43</v>
      </c>
      <c r="C48" s="42" t="s">
        <v>10</v>
      </c>
      <c r="D48" s="25">
        <f>0.432*2</f>
        <v>0.86399999999999999</v>
      </c>
      <c r="E48" s="6">
        <f>51.1603683540058*1.133*1.11*1.015*1.012*1.015*1.0015*1.015</f>
        <v>68.189286192980433</v>
      </c>
      <c r="F48" s="6">
        <f t="shared" si="1"/>
        <v>58.915543270735093</v>
      </c>
    </row>
    <row r="49" spans="1:6" ht="36" customHeight="1">
      <c r="A49" s="42">
        <f t="shared" si="0"/>
        <v>6</v>
      </c>
      <c r="B49" s="8" t="s">
        <v>45</v>
      </c>
      <c r="C49" s="42" t="s">
        <v>14</v>
      </c>
      <c r="D49" s="30">
        <f>0.09385*2</f>
        <v>0.18770000000000001</v>
      </c>
      <c r="E49" s="6">
        <f>272.42550598163*1.133*1.11*1.015*1.012*1.015*1.0015*1.015</f>
        <v>363.10334329706501</v>
      </c>
      <c r="F49" s="6">
        <f t="shared" si="1"/>
        <v>68.154497536859111</v>
      </c>
    </row>
    <row r="50" spans="1:6" ht="36" customHeight="1">
      <c r="A50" s="42">
        <f t="shared" si="0"/>
        <v>7</v>
      </c>
      <c r="B50" s="21" t="s">
        <v>34</v>
      </c>
      <c r="C50" s="42" t="s">
        <v>9</v>
      </c>
      <c r="D50" s="31">
        <v>10</v>
      </c>
      <c r="E50" s="6">
        <f>3.2910922863*1.133*1.11*1.015*1.012*1.015*1.0015*1.015</f>
        <v>4.3865445269111198</v>
      </c>
      <c r="F50" s="6">
        <f t="shared" si="1"/>
        <v>43.865445269111198</v>
      </c>
    </row>
    <row r="51" spans="1:6" ht="36" customHeight="1">
      <c r="A51" s="42">
        <f t="shared" si="0"/>
        <v>8</v>
      </c>
      <c r="B51" s="21" t="s">
        <v>35</v>
      </c>
      <c r="C51" s="42" t="s">
        <v>9</v>
      </c>
      <c r="D51" s="26">
        <v>12.7</v>
      </c>
      <c r="E51" s="6">
        <f>1.5562981602*1.133*1.11*1.015*1.012*1.015*1.0015*1.015</f>
        <v>2.0743177592695612</v>
      </c>
      <c r="F51" s="6">
        <f t="shared" si="1"/>
        <v>26.343835542723426</v>
      </c>
    </row>
    <row r="52" spans="1:6" ht="36" customHeight="1">
      <c r="A52" s="42">
        <f t="shared" si="0"/>
        <v>9</v>
      </c>
      <c r="B52" s="21" t="s">
        <v>36</v>
      </c>
      <c r="C52" s="42" t="s">
        <v>9</v>
      </c>
      <c r="D52" s="26">
        <v>25.8</v>
      </c>
      <c r="E52" s="6">
        <f>0.1609963614*1.133*1.11*1.015*1.012*1.015*1.0015*1.015</f>
        <v>0.2145845957865064</v>
      </c>
      <c r="F52" s="6">
        <f t="shared" si="1"/>
        <v>5.5362825712918653</v>
      </c>
    </row>
    <row r="53" spans="1:6" ht="25.5" customHeight="1">
      <c r="A53" s="42">
        <f t="shared" si="0"/>
        <v>10</v>
      </c>
      <c r="B53" s="21" t="s">
        <v>32</v>
      </c>
      <c r="C53" s="42" t="s">
        <v>14</v>
      </c>
      <c r="D53" s="30">
        <f>0.0175</f>
        <v>1.7500000000000002E-2</v>
      </c>
      <c r="E53" s="6">
        <f>559.0155326301*1.133*1.11*1.015*1.012*1.015*1.0015*1.015</f>
        <v>745.0859203567602</v>
      </c>
      <c r="F53" s="6">
        <f t="shared" si="1"/>
        <v>13.039003606243305</v>
      </c>
    </row>
    <row r="54" spans="1:6" ht="25.5" customHeight="1">
      <c r="A54" s="42">
        <f t="shared" si="0"/>
        <v>11</v>
      </c>
      <c r="B54" s="21" t="s">
        <v>38</v>
      </c>
      <c r="C54" s="42" t="s">
        <v>14</v>
      </c>
      <c r="D54" s="30">
        <f>0.0088</f>
        <v>8.8000000000000005E-3</v>
      </c>
      <c r="E54" s="6">
        <f>324.710994699*1.133*1.11*1.015*1.012*1.015*1.0015*1.015</f>
        <v>432.79225032795881</v>
      </c>
      <c r="F54" s="6">
        <f t="shared" si="1"/>
        <v>3.8085718028860378</v>
      </c>
    </row>
    <row r="55" spans="1:6" ht="25.5" customHeight="1">
      <c r="A55" s="42">
        <f t="shared" si="0"/>
        <v>12</v>
      </c>
      <c r="B55" s="21" t="s">
        <v>37</v>
      </c>
      <c r="C55" s="42" t="s">
        <v>24</v>
      </c>
      <c r="D55" s="31">
        <v>4</v>
      </c>
      <c r="E55" s="6">
        <f>0.58332015*1.133*1.11*1.015*1.012*1.015*1.0015*1.015</f>
        <v>0.77748041951632763</v>
      </c>
      <c r="F55" s="6">
        <f t="shared" si="1"/>
        <v>3.1099216780653105</v>
      </c>
    </row>
    <row r="56" spans="1:6" ht="25.5" customHeight="1">
      <c r="A56" s="42">
        <f t="shared" si="0"/>
        <v>13</v>
      </c>
      <c r="B56" s="21" t="s">
        <v>39</v>
      </c>
      <c r="C56" s="42" t="s">
        <v>24</v>
      </c>
      <c r="D56" s="31">
        <v>4</v>
      </c>
      <c r="E56" s="6">
        <f>0.151663239*1.133*1.11*1.015*1.012*1.015*1.0015*1.015</f>
        <v>0.20214490907424509</v>
      </c>
      <c r="F56" s="6">
        <f t="shared" si="1"/>
        <v>0.80857963629698038</v>
      </c>
    </row>
    <row r="57" spans="1:6" ht="25.5" customHeight="1">
      <c r="A57" s="42">
        <f t="shared" si="0"/>
        <v>14</v>
      </c>
      <c r="B57" s="21" t="s">
        <v>40</v>
      </c>
      <c r="C57" s="32" t="s">
        <v>24</v>
      </c>
      <c r="D57" s="31">
        <v>4</v>
      </c>
      <c r="E57" s="6">
        <f>3.4999209*1.133*1.11*1.015*1.012*1.015*1.0015*1.015</f>
        <v>4.664882517097964</v>
      </c>
      <c r="F57" s="6">
        <f t="shared" si="1"/>
        <v>18.659530068391856</v>
      </c>
    </row>
    <row r="58" spans="1:6" ht="36" customHeight="1">
      <c r="A58" s="42">
        <f t="shared" si="0"/>
        <v>15</v>
      </c>
      <c r="B58" s="21" t="s">
        <v>41</v>
      </c>
      <c r="C58" s="42" t="s">
        <v>11</v>
      </c>
      <c r="D58" s="40">
        <f>0.039*2</f>
        <v>7.8E-2</v>
      </c>
      <c r="E58" s="6">
        <f>126.70765995972*1.133*1.11*1.015*1.012*1.015*1.0015*1.015</f>
        <v>168.88277324453009</v>
      </c>
      <c r="F58" s="6">
        <f t="shared" si="1"/>
        <v>13.172856313073346</v>
      </c>
    </row>
    <row r="59" spans="1:6" ht="25.5" customHeight="1">
      <c r="A59" s="42"/>
      <c r="B59" s="27" t="s">
        <v>46</v>
      </c>
      <c r="C59" s="35"/>
      <c r="D59" s="37"/>
      <c r="E59" s="6"/>
      <c r="F59" s="6"/>
    </row>
    <row r="60" spans="1:6" ht="25.5" customHeight="1">
      <c r="A60" s="42">
        <f t="shared" si="0"/>
        <v>1</v>
      </c>
      <c r="B60" s="21" t="s">
        <v>42</v>
      </c>
      <c r="C60" s="42" t="s">
        <v>10</v>
      </c>
      <c r="D60" s="25">
        <f>0.8</f>
        <v>0.8</v>
      </c>
      <c r="E60" s="6">
        <f>2.877941*1.133*1.11*1.015*1.012*1.015*1.0015*1.015</f>
        <v>3.8358743067991714</v>
      </c>
      <c r="F60" s="6">
        <f t="shared" si="1"/>
        <v>3.0686994454393375</v>
      </c>
    </row>
    <row r="61" spans="1:6" ht="25.5" customHeight="1">
      <c r="A61" s="42">
        <f t="shared" si="0"/>
        <v>2</v>
      </c>
      <c r="B61" s="21" t="s">
        <v>17</v>
      </c>
      <c r="C61" s="42" t="s">
        <v>10</v>
      </c>
      <c r="D61" s="25">
        <f>0.24</f>
        <v>0.24</v>
      </c>
      <c r="E61" s="6">
        <f>1.47036622*1.133*1.11*1.015*1.012*1.015*1.0015*1.015</f>
        <v>1.9597830549283042</v>
      </c>
      <c r="F61" s="6">
        <f t="shared" si="1"/>
        <v>0.470347933182793</v>
      </c>
    </row>
    <row r="62" spans="1:6" ht="25.5" customHeight="1">
      <c r="A62" s="42">
        <f t="shared" si="0"/>
        <v>3</v>
      </c>
      <c r="B62" s="21" t="s">
        <v>33</v>
      </c>
      <c r="C62" s="42" t="s">
        <v>10</v>
      </c>
      <c r="D62" s="25">
        <f>0.56</f>
        <v>0.56000000000000005</v>
      </c>
      <c r="E62" s="6">
        <f>1.47036622*1.133*1.11*1.015*1.012*1.015*1.0015*1.015</f>
        <v>1.9597830549283042</v>
      </c>
      <c r="F62" s="6">
        <f t="shared" si="1"/>
        <v>1.0974785107598504</v>
      </c>
    </row>
    <row r="63" spans="1:6" ht="25.5" customHeight="1">
      <c r="A63" s="42">
        <f t="shared" si="0"/>
        <v>4</v>
      </c>
      <c r="B63" s="21" t="s">
        <v>25</v>
      </c>
      <c r="C63" s="42" t="s">
        <v>11</v>
      </c>
      <c r="D63" s="25">
        <f>0.0128</f>
        <v>1.2800000000000001E-2</v>
      </c>
      <c r="E63" s="6">
        <f>31.486644096*1.133*1.11*1.015*1.012*1.015*1.0015*1.015</f>
        <v>41.967090046382545</v>
      </c>
      <c r="F63" s="6">
        <f t="shared" si="1"/>
        <v>0.53717875259369663</v>
      </c>
    </row>
    <row r="64" spans="1:6" ht="36" customHeight="1">
      <c r="A64" s="42">
        <f t="shared" si="0"/>
        <v>5</v>
      </c>
      <c r="B64" s="21" t="s">
        <v>43</v>
      </c>
      <c r="C64" s="42" t="s">
        <v>10</v>
      </c>
      <c r="D64" s="25">
        <f>0.432</f>
        <v>0.432</v>
      </c>
      <c r="E64" s="6">
        <f>51.1603683540058*1.133*1.11*1.015*1.012*1.015*1.0015*1.015</f>
        <v>68.189286192980433</v>
      </c>
      <c r="F64" s="6">
        <f t="shared" si="1"/>
        <v>29.457771635367546</v>
      </c>
    </row>
    <row r="65" spans="1:6" ht="36" customHeight="1">
      <c r="A65" s="42">
        <f t="shared" si="0"/>
        <v>6</v>
      </c>
      <c r="B65" s="8" t="s">
        <v>45</v>
      </c>
      <c r="C65" s="42" t="s">
        <v>14</v>
      </c>
      <c r="D65" s="28">
        <f>0.10015</f>
        <v>0.10015</v>
      </c>
      <c r="E65" s="6">
        <f>272.42550598163*1.133*1.11*1.015*1.012*1.015*1.0015*1.015</f>
        <v>363.10334329706501</v>
      </c>
      <c r="F65" s="6">
        <f t="shared" si="1"/>
        <v>36.364799831201061</v>
      </c>
    </row>
    <row r="66" spans="1:6" ht="36" customHeight="1">
      <c r="A66" s="42">
        <f t="shared" si="0"/>
        <v>7</v>
      </c>
      <c r="B66" s="21" t="s">
        <v>34</v>
      </c>
      <c r="C66" s="42" t="s">
        <v>9</v>
      </c>
      <c r="D66" s="31">
        <v>5</v>
      </c>
      <c r="E66" s="6">
        <f>3.2910922863*1.133*1.11*1.015*1.012*1.015*1.0015*1.015</f>
        <v>4.3865445269111198</v>
      </c>
      <c r="F66" s="6">
        <f t="shared" si="1"/>
        <v>21.932722634555599</v>
      </c>
    </row>
    <row r="67" spans="1:6" ht="36" customHeight="1">
      <c r="A67" s="42">
        <f t="shared" si="0"/>
        <v>8</v>
      </c>
      <c r="B67" s="21" t="s">
        <v>35</v>
      </c>
      <c r="C67" s="42" t="s">
        <v>9</v>
      </c>
      <c r="D67" s="29">
        <v>7.25</v>
      </c>
      <c r="E67" s="6">
        <f>1.5562981602*1.133*1.11*1.015*1.012*1.015*1.0015*1.015</f>
        <v>2.0743177592695612</v>
      </c>
      <c r="F67" s="6">
        <f t="shared" si="1"/>
        <v>15.038803754704318</v>
      </c>
    </row>
    <row r="68" spans="1:6" ht="36" customHeight="1">
      <c r="A68" s="42">
        <f t="shared" si="0"/>
        <v>9</v>
      </c>
      <c r="B68" s="21" t="s">
        <v>36</v>
      </c>
      <c r="C68" s="42" t="s">
        <v>9</v>
      </c>
      <c r="D68" s="26">
        <v>17.100000000000001</v>
      </c>
      <c r="E68" s="6">
        <f>0.1609963614*1.133*1.11*1.015*1.012*1.015*1.0015*1.015</f>
        <v>0.2145845957865064</v>
      </c>
      <c r="F68" s="6">
        <f t="shared" si="1"/>
        <v>3.6693965879492598</v>
      </c>
    </row>
    <row r="69" spans="1:6" ht="25.5" customHeight="1">
      <c r="A69" s="42">
        <f t="shared" si="0"/>
        <v>10</v>
      </c>
      <c r="B69" s="21" t="s">
        <v>32</v>
      </c>
      <c r="C69" s="42" t="s">
        <v>14</v>
      </c>
      <c r="D69" s="28">
        <f>0.01015</f>
        <v>1.0149999999999999E-2</v>
      </c>
      <c r="E69" s="6">
        <f>559.0155326301*1.133*1.11*1.015*1.012*1.015*1.0015*1.015</f>
        <v>745.0859203567602</v>
      </c>
      <c r="F69" s="6">
        <f t="shared" si="1"/>
        <v>7.5626220916211153</v>
      </c>
    </row>
    <row r="70" spans="1:6" ht="25.5" customHeight="1">
      <c r="A70" s="42">
        <f t="shared" si="0"/>
        <v>11</v>
      </c>
      <c r="B70" s="21" t="s">
        <v>38</v>
      </c>
      <c r="C70" s="42" t="s">
        <v>14</v>
      </c>
      <c r="D70" s="30">
        <f>0.0044</f>
        <v>4.4000000000000003E-3</v>
      </c>
      <c r="E70" s="6">
        <f>324.710994699*1.133*1.11*1.015*1.012*1.015*1.0015*1.015</f>
        <v>432.79225032795881</v>
      </c>
      <c r="F70" s="6">
        <f t="shared" si="1"/>
        <v>1.9042859014430189</v>
      </c>
    </row>
    <row r="71" spans="1:6" ht="25.5" customHeight="1">
      <c r="A71" s="42">
        <f t="shared" si="0"/>
        <v>12</v>
      </c>
      <c r="B71" s="21" t="s">
        <v>37</v>
      </c>
      <c r="C71" s="42" t="s">
        <v>24</v>
      </c>
      <c r="D71" s="31">
        <v>2</v>
      </c>
      <c r="E71" s="6">
        <f>0.58332015*1.133*1.11*1.015*1.012*1.015*1.0015*1.015</f>
        <v>0.77748041951632763</v>
      </c>
      <c r="F71" s="6">
        <f t="shared" si="1"/>
        <v>1.5549608390326553</v>
      </c>
    </row>
    <row r="72" spans="1:6" ht="25.5" customHeight="1">
      <c r="A72" s="42">
        <f t="shared" si="0"/>
        <v>13</v>
      </c>
      <c r="B72" s="21" t="s">
        <v>39</v>
      </c>
      <c r="C72" s="42" t="s">
        <v>24</v>
      </c>
      <c r="D72" s="31">
        <v>2</v>
      </c>
      <c r="E72" s="6">
        <f>0.151663239*1.133*1.11*1.015*1.012*1.015*1.0015*1.015</f>
        <v>0.20214490907424509</v>
      </c>
      <c r="F72" s="6">
        <f t="shared" si="1"/>
        <v>0.40428981814849019</v>
      </c>
    </row>
    <row r="73" spans="1:6" ht="25.5" customHeight="1">
      <c r="A73" s="42">
        <f t="shared" si="0"/>
        <v>14</v>
      </c>
      <c r="B73" s="21" t="s">
        <v>40</v>
      </c>
      <c r="C73" s="32" t="s">
        <v>24</v>
      </c>
      <c r="D73" s="31">
        <v>2</v>
      </c>
      <c r="E73" s="6">
        <f>3.4999209*1.133*1.11*1.015*1.012*1.015*1.0015*1.015</f>
        <v>4.664882517097964</v>
      </c>
      <c r="F73" s="6">
        <f t="shared" si="1"/>
        <v>9.329765034195928</v>
      </c>
    </row>
    <row r="74" spans="1:6" ht="36" customHeight="1">
      <c r="A74" s="42">
        <f t="shared" si="0"/>
        <v>15</v>
      </c>
      <c r="B74" s="21" t="s">
        <v>41</v>
      </c>
      <c r="C74" s="42" t="s">
        <v>11</v>
      </c>
      <c r="D74" s="40">
        <f>0.048</f>
        <v>4.8000000000000001E-2</v>
      </c>
      <c r="E74" s="6">
        <f>126.70765995972*1.133*1.11*1.015*1.012*1.015*1.0015*1.015</f>
        <v>168.88277324453009</v>
      </c>
      <c r="F74" s="6">
        <f t="shared" si="1"/>
        <v>8.1063731157374441</v>
      </c>
    </row>
    <row r="75" spans="1:6" ht="25.5" customHeight="1">
      <c r="A75" s="42"/>
      <c r="B75" s="27" t="s">
        <v>47</v>
      </c>
      <c r="C75" s="42"/>
      <c r="D75" s="25"/>
      <c r="E75" s="6"/>
      <c r="F75" s="6"/>
    </row>
    <row r="76" spans="1:6" ht="36" customHeight="1">
      <c r="A76" s="42">
        <f t="shared" si="0"/>
        <v>1</v>
      </c>
      <c r="B76" s="21" t="s">
        <v>54</v>
      </c>
      <c r="C76" s="42" t="s">
        <v>14</v>
      </c>
      <c r="D76" s="30">
        <v>1.2055</v>
      </c>
      <c r="E76" s="6">
        <f>66.814075336*1.133*1.11*1.015*1.012*1.015*1.0015*1.015</f>
        <v>89.05338744397703</v>
      </c>
      <c r="F76" s="6">
        <f t="shared" si="1"/>
        <v>107.35385856371431</v>
      </c>
    </row>
    <row r="77" spans="1:6" ht="36" customHeight="1">
      <c r="A77" s="42">
        <f t="shared" ref="A77:A140" si="2">1+A76</f>
        <v>2</v>
      </c>
      <c r="B77" s="21" t="s">
        <v>53</v>
      </c>
      <c r="C77" s="42" t="s">
        <v>9</v>
      </c>
      <c r="D77" s="26">
        <v>101.2</v>
      </c>
      <c r="E77" s="6">
        <f>3.5279202672*1.133*1.11*1.015*1.012*1.015*1.0015*1.015</f>
        <v>4.7022015772347485</v>
      </c>
      <c r="F77" s="6">
        <f t="shared" ref="F77:F140" si="3">E77*D77</f>
        <v>475.86279961615656</v>
      </c>
    </row>
    <row r="78" spans="1:6" ht="36" customHeight="1">
      <c r="A78" s="42">
        <f t="shared" si="2"/>
        <v>3</v>
      </c>
      <c r="B78" s="21" t="s">
        <v>55</v>
      </c>
      <c r="C78" s="42" t="s">
        <v>9</v>
      </c>
      <c r="D78" s="26">
        <v>12.8</v>
      </c>
      <c r="E78" s="6">
        <f>2.9772660456*1.133*1.11*1.015*1.012*1.015*1.0015*1.015</f>
        <v>3.9682600612113346</v>
      </c>
      <c r="F78" s="6">
        <f t="shared" si="3"/>
        <v>50.793728783505088</v>
      </c>
    </row>
    <row r="79" spans="1:6" ht="36" customHeight="1">
      <c r="A79" s="42">
        <f t="shared" si="2"/>
        <v>4</v>
      </c>
      <c r="B79" s="21" t="s">
        <v>56</v>
      </c>
      <c r="C79" s="42" t="s">
        <v>9</v>
      </c>
      <c r="D79" s="26">
        <v>86.4</v>
      </c>
      <c r="E79" s="6">
        <f>0.6358189635*1.133*1.11*1.015*1.012*1.015*1.0015*1.015</f>
        <v>0.84745365727279698</v>
      </c>
      <c r="F79" s="6">
        <f t="shared" si="3"/>
        <v>73.219995988369661</v>
      </c>
    </row>
    <row r="80" spans="1:6" ht="25.5" customHeight="1">
      <c r="A80" s="42">
        <f t="shared" si="2"/>
        <v>5</v>
      </c>
      <c r="B80" s="21" t="s">
        <v>32</v>
      </c>
      <c r="C80" s="42" t="s">
        <v>14</v>
      </c>
      <c r="D80" s="30">
        <v>1.0800000000000001E-2</v>
      </c>
      <c r="E80" s="6">
        <f>559.0155326301*1.133*1.11*1.015*1.012*1.015*1.0015*1.015</f>
        <v>745.0859203567602</v>
      </c>
      <c r="F80" s="6">
        <f t="shared" si="3"/>
        <v>8.0469279398530098</v>
      </c>
    </row>
    <row r="81" spans="1:6" ht="36" customHeight="1">
      <c r="A81" s="42">
        <f t="shared" si="2"/>
        <v>6</v>
      </c>
      <c r="B81" s="21" t="s">
        <v>48</v>
      </c>
      <c r="C81" s="42" t="s">
        <v>14</v>
      </c>
      <c r="D81" s="25">
        <v>0.43690000000000001</v>
      </c>
      <c r="E81" s="6">
        <f>132.387422387*1.133*1.11*1.015*1.012*1.015*1.0015*1.015</f>
        <v>176.45306560407693</v>
      </c>
      <c r="F81" s="6">
        <f t="shared" si="3"/>
        <v>77.092344362421215</v>
      </c>
    </row>
    <row r="82" spans="1:6" ht="36" customHeight="1">
      <c r="A82" s="42">
        <f t="shared" si="2"/>
        <v>7</v>
      </c>
      <c r="B82" s="21" t="s">
        <v>49</v>
      </c>
      <c r="C82" s="42" t="s">
        <v>9</v>
      </c>
      <c r="D82" s="26">
        <v>21.6</v>
      </c>
      <c r="E82" s="6">
        <f>4.4285665788*1.133*1.11*1.015*1.012*1.015*1.0015*1.015</f>
        <v>5.9026313449679586</v>
      </c>
      <c r="F82" s="6">
        <f t="shared" si="3"/>
        <v>127.49683705130792</v>
      </c>
    </row>
    <row r="83" spans="1:6" ht="36" customHeight="1">
      <c r="A83" s="42">
        <f t="shared" si="2"/>
        <v>8</v>
      </c>
      <c r="B83" s="21" t="s">
        <v>50</v>
      </c>
      <c r="C83" s="42" t="s">
        <v>9</v>
      </c>
      <c r="D83" s="26">
        <v>26.6</v>
      </c>
      <c r="E83" s="6">
        <f>1.038309867*1.133*1.11*1.015*1.012*1.015*1.0015*1.015</f>
        <v>1.3839151467390627</v>
      </c>
      <c r="F83" s="6">
        <f t="shared" si="3"/>
        <v>36.812142903259073</v>
      </c>
    </row>
    <row r="84" spans="1:6" ht="36" customHeight="1">
      <c r="A84" s="42">
        <f t="shared" si="2"/>
        <v>9</v>
      </c>
      <c r="B84" s="21" t="s">
        <v>51</v>
      </c>
      <c r="C84" s="42" t="s">
        <v>9</v>
      </c>
      <c r="D84" s="26">
        <v>75.599999999999994</v>
      </c>
      <c r="E84" s="6">
        <f>0.3558252915*1.133*1.11*1.015*1.012*1.015*1.0015*1.015</f>
        <v>0.47426305590495971</v>
      </c>
      <c r="F84" s="6">
        <f t="shared" si="3"/>
        <v>35.854287026414951</v>
      </c>
    </row>
    <row r="85" spans="1:6" ht="25.5" customHeight="1">
      <c r="A85" s="42">
        <f t="shared" si="2"/>
        <v>10</v>
      </c>
      <c r="B85" s="21" t="s">
        <v>32</v>
      </c>
      <c r="C85" s="42" t="s">
        <v>14</v>
      </c>
      <c r="D85" s="30">
        <v>5.6399999999999999E-2</v>
      </c>
      <c r="E85" s="6">
        <f>559.0155326301*1.133*1.11*1.015*1.012*1.015*1.0015*1.015</f>
        <v>745.0859203567602</v>
      </c>
      <c r="F85" s="6">
        <f t="shared" si="3"/>
        <v>42.022845908121276</v>
      </c>
    </row>
    <row r="86" spans="1:6" ht="25.5" customHeight="1">
      <c r="A86" s="42">
        <f t="shared" si="2"/>
        <v>11</v>
      </c>
      <c r="B86" s="21" t="s">
        <v>52</v>
      </c>
      <c r="C86" s="42" t="s">
        <v>13</v>
      </c>
      <c r="D86" s="26">
        <v>4.8</v>
      </c>
      <c r="E86" s="6">
        <f>1.1666403*1.133*1.11*1.015*1.012*1.015*1.0015*1.015</f>
        <v>1.5549608390326553</v>
      </c>
      <c r="F86" s="6">
        <f t="shared" si="3"/>
        <v>7.4638120273567452</v>
      </c>
    </row>
    <row r="87" spans="1:6" ht="45.75" customHeight="1">
      <c r="A87" s="42">
        <f t="shared" si="2"/>
        <v>12</v>
      </c>
      <c r="B87" s="36" t="s">
        <v>65</v>
      </c>
      <c r="C87" s="34" t="s">
        <v>11</v>
      </c>
      <c r="D87" s="47">
        <v>0.33</v>
      </c>
      <c r="E87" s="6">
        <f>604.44470798785*1.133*1.11*1.015*1.012*1.015*1.0015*1.015</f>
        <v>805.6363647661027</v>
      </c>
      <c r="F87" s="6">
        <f t="shared" si="3"/>
        <v>265.86000037281389</v>
      </c>
    </row>
    <row r="88" spans="1:6" ht="36" customHeight="1">
      <c r="A88" s="42">
        <f t="shared" si="2"/>
        <v>13</v>
      </c>
      <c r="B88" s="21" t="s">
        <v>64</v>
      </c>
      <c r="C88" s="42" t="s">
        <v>11</v>
      </c>
      <c r="D88" s="25">
        <v>5.0500000000000003E-2</v>
      </c>
      <c r="E88" s="6">
        <f>626.14798148835*1.133*1.11*1.015*1.012*1.015*1.0015*1.015</f>
        <v>834.56365312747039</v>
      </c>
      <c r="F88" s="6">
        <f t="shared" si="3"/>
        <v>42.145464482937257</v>
      </c>
    </row>
    <row r="89" spans="1:6" ht="36" customHeight="1">
      <c r="A89" s="42">
        <f t="shared" si="2"/>
        <v>14</v>
      </c>
      <c r="B89" s="21" t="s">
        <v>41</v>
      </c>
      <c r="C89" s="42" t="s">
        <v>11</v>
      </c>
      <c r="D89" s="40">
        <f>0.679</f>
        <v>0.67900000000000005</v>
      </c>
      <c r="E89" s="6">
        <f>126.70765995972*1.133*1.11*1.015*1.012*1.015*1.0015*1.015</f>
        <v>168.88277324453009</v>
      </c>
      <c r="F89" s="6">
        <f t="shared" si="3"/>
        <v>114.67140303303593</v>
      </c>
    </row>
    <row r="90" spans="1:6" ht="25.5" customHeight="1">
      <c r="A90" s="42"/>
      <c r="B90" s="27" t="s">
        <v>106</v>
      </c>
      <c r="C90" s="42"/>
      <c r="D90" s="25"/>
      <c r="E90" s="6"/>
      <c r="F90" s="6"/>
    </row>
    <row r="91" spans="1:6" ht="36" customHeight="1">
      <c r="A91" s="42">
        <f t="shared" si="2"/>
        <v>1</v>
      </c>
      <c r="B91" s="21" t="s">
        <v>107</v>
      </c>
      <c r="C91" s="42" t="s">
        <v>14</v>
      </c>
      <c r="D91" s="30">
        <v>1.0505</v>
      </c>
      <c r="E91" s="6">
        <f>48.561812236*1.133*1.11*1.015*1.012*1.015*1.0015*1.015</f>
        <v>64.725791059538068</v>
      </c>
      <c r="F91" s="6">
        <f t="shared" si="3"/>
        <v>67.994443508044739</v>
      </c>
    </row>
    <row r="92" spans="1:6" ht="45.75" customHeight="1">
      <c r="A92" s="42">
        <f t="shared" si="2"/>
        <v>2</v>
      </c>
      <c r="B92" s="21" t="s">
        <v>108</v>
      </c>
      <c r="C92" s="42" t="s">
        <v>11</v>
      </c>
      <c r="D92" s="40">
        <v>0.35499999999999998</v>
      </c>
      <c r="E92" s="6">
        <f>124.13264105321*1.133*1.11*1.015*1.012*1.015*1.0015*1.015</f>
        <v>165.45064977048946</v>
      </c>
      <c r="F92" s="6">
        <f t="shared" si="3"/>
        <v>58.734980668523754</v>
      </c>
    </row>
    <row r="93" spans="1:6" ht="36" customHeight="1">
      <c r="A93" s="42">
        <f t="shared" si="2"/>
        <v>3</v>
      </c>
      <c r="B93" s="8" t="s">
        <v>109</v>
      </c>
      <c r="C93" s="42" t="s">
        <v>14</v>
      </c>
      <c r="D93" s="30">
        <f>0.09385*2</f>
        <v>0.18770000000000001</v>
      </c>
      <c r="E93" s="6">
        <f>202.87481398163*1.133*1.11*1.015*1.012*1.015*1.0015*1.015</f>
        <v>270.40244621025784</v>
      </c>
      <c r="F93" s="6">
        <f t="shared" si="3"/>
        <v>50.754539153665398</v>
      </c>
    </row>
    <row r="94" spans="1:6" ht="45" customHeight="1">
      <c r="A94" s="42">
        <f t="shared" si="2"/>
        <v>4</v>
      </c>
      <c r="B94" s="21" t="s">
        <v>110</v>
      </c>
      <c r="C94" s="42" t="s">
        <v>11</v>
      </c>
      <c r="D94" s="40">
        <v>0.155</v>
      </c>
      <c r="E94" s="6">
        <f>106.586819850625*1.133*1.11*1.015*1.012*1.015*1.0015*1.015</f>
        <v>142.06463708201258</v>
      </c>
      <c r="F94" s="6">
        <f t="shared" si="3"/>
        <v>22.020018747711951</v>
      </c>
    </row>
    <row r="95" spans="1:6" ht="36" customHeight="1">
      <c r="A95" s="42">
        <f t="shared" si="2"/>
        <v>5</v>
      </c>
      <c r="B95" s="21" t="s">
        <v>111</v>
      </c>
      <c r="C95" s="42" t="s">
        <v>24</v>
      </c>
      <c r="D95" s="42">
        <v>2</v>
      </c>
      <c r="E95" s="6">
        <f>38.73245796*1.133*1.11*1.015*1.012*1.015*1.0015*1.015</f>
        <v>51.624699855884131</v>
      </c>
      <c r="F95" s="6">
        <f t="shared" si="3"/>
        <v>103.24939971176826</v>
      </c>
    </row>
    <row r="96" spans="1:6" ht="25.5" customHeight="1">
      <c r="A96" s="42"/>
      <c r="B96" s="27" t="s">
        <v>57</v>
      </c>
      <c r="C96" s="42"/>
      <c r="D96" s="25"/>
      <c r="E96" s="6"/>
      <c r="F96" s="6"/>
    </row>
    <row r="97" spans="1:6" ht="25.5" customHeight="1">
      <c r="A97" s="42">
        <f t="shared" si="2"/>
        <v>1</v>
      </c>
      <c r="B97" s="21" t="s">
        <v>42</v>
      </c>
      <c r="C97" s="42" t="s">
        <v>10</v>
      </c>
      <c r="D97" s="29">
        <f>0.365</f>
        <v>0.36499999999999999</v>
      </c>
      <c r="E97" s="6">
        <f>2.877941*1.133*1.11*1.015*1.012*1.015*1.0015*1.015</f>
        <v>3.8358743067991714</v>
      </c>
      <c r="F97" s="6">
        <f t="shared" si="3"/>
        <v>1.4000941219816976</v>
      </c>
    </row>
    <row r="98" spans="1:6" ht="25.5" customHeight="1">
      <c r="A98" s="42">
        <f t="shared" si="2"/>
        <v>2</v>
      </c>
      <c r="B98" s="21" t="s">
        <v>33</v>
      </c>
      <c r="C98" s="42" t="s">
        <v>10</v>
      </c>
      <c r="D98" s="25">
        <f>0.255</f>
        <v>0.255</v>
      </c>
      <c r="E98" s="6">
        <f>1.47036622*1.133*1.11*1.015*1.012*1.015*1.0015*1.015</f>
        <v>1.9597830549283042</v>
      </c>
      <c r="F98" s="6">
        <f t="shared" si="3"/>
        <v>0.4997446790067176</v>
      </c>
    </row>
    <row r="99" spans="1:6" ht="25.5" customHeight="1">
      <c r="A99" s="42">
        <f t="shared" si="2"/>
        <v>3</v>
      </c>
      <c r="B99" s="21" t="s">
        <v>17</v>
      </c>
      <c r="C99" s="42" t="s">
        <v>10</v>
      </c>
      <c r="D99" s="25">
        <f>0.11</f>
        <v>0.11</v>
      </c>
      <c r="E99" s="6">
        <f>1.47036622*1.133*1.11*1.015*1.012*1.015*1.0015*1.015</f>
        <v>1.9597830549283042</v>
      </c>
      <c r="F99" s="6">
        <f t="shared" si="3"/>
        <v>0.21557613604211345</v>
      </c>
    </row>
    <row r="100" spans="1:6" ht="25.5" customHeight="1">
      <c r="A100" s="42">
        <f t="shared" si="2"/>
        <v>4</v>
      </c>
      <c r="B100" s="21" t="s">
        <v>25</v>
      </c>
      <c r="C100" s="42" t="s">
        <v>11</v>
      </c>
      <c r="D100" s="25">
        <f>0.0085</f>
        <v>8.5000000000000006E-3</v>
      </c>
      <c r="E100" s="6">
        <f>31.486644096*1.133*1.11*1.015*1.012*1.015*1.0015*1.015</f>
        <v>41.967090046382545</v>
      </c>
      <c r="F100" s="6">
        <f t="shared" si="3"/>
        <v>0.35672026539425167</v>
      </c>
    </row>
    <row r="101" spans="1:6" ht="36" customHeight="1">
      <c r="A101" s="42">
        <f t="shared" si="2"/>
        <v>5</v>
      </c>
      <c r="B101" s="21" t="s">
        <v>58</v>
      </c>
      <c r="C101" s="42" t="s">
        <v>10</v>
      </c>
      <c r="D101" s="25">
        <v>0.255</v>
      </c>
      <c r="E101" s="6">
        <f>49.6801934733808*1.133*1.11*1.015*1.012*1.015*1.0015*1.015</f>
        <v>66.216429628457746</v>
      </c>
      <c r="F101" s="6">
        <f t="shared" si="3"/>
        <v>16.885189555256726</v>
      </c>
    </row>
    <row r="102" spans="1:6" ht="25.5" customHeight="1">
      <c r="A102" s="42">
        <f t="shared" si="2"/>
        <v>6</v>
      </c>
      <c r="B102" s="21" t="s">
        <v>59</v>
      </c>
      <c r="C102" s="42" t="s">
        <v>10</v>
      </c>
      <c r="D102" s="25">
        <f>0.084</f>
        <v>8.4000000000000005E-2</v>
      </c>
      <c r="E102" s="6">
        <f>176.7695290301*1.133*1.11*1.015*1.012*1.015*1.0015*1.015</f>
        <v>235.60792060419269</v>
      </c>
      <c r="F102" s="6">
        <f t="shared" si="3"/>
        <v>19.791065330752186</v>
      </c>
    </row>
    <row r="103" spans="1:6" ht="25.5" customHeight="1">
      <c r="A103" s="42">
        <f t="shared" si="2"/>
        <v>7</v>
      </c>
      <c r="B103" s="21" t="s">
        <v>60</v>
      </c>
      <c r="C103" s="42" t="s">
        <v>9</v>
      </c>
      <c r="D103" s="25">
        <v>6.4</v>
      </c>
      <c r="E103" s="6">
        <f>1.98328851*1.133*1.11*1.015*1.012*1.015*1.0015*1.015</f>
        <v>2.6434334263555126</v>
      </c>
      <c r="F103" s="6">
        <f t="shared" si="3"/>
        <v>16.917973928675281</v>
      </c>
    </row>
    <row r="104" spans="1:6" ht="25.5" customHeight="1">
      <c r="A104" s="42">
        <f t="shared" si="2"/>
        <v>8</v>
      </c>
      <c r="B104" s="21" t="s">
        <v>66</v>
      </c>
      <c r="C104" s="42" t="s">
        <v>13</v>
      </c>
      <c r="D104" s="25">
        <v>4.5</v>
      </c>
      <c r="E104" s="6">
        <f>1.1666403*1.133*1.11*1.015*1.012*1.015*1.0015*1.015</f>
        <v>1.5549608390326553</v>
      </c>
      <c r="F104" s="6">
        <f t="shared" si="3"/>
        <v>6.9973237756469491</v>
      </c>
    </row>
    <row r="105" spans="1:6" ht="25.5" customHeight="1">
      <c r="A105" s="42">
        <f t="shared" si="2"/>
        <v>9</v>
      </c>
      <c r="B105" s="21" t="s">
        <v>61</v>
      </c>
      <c r="C105" s="42" t="s">
        <v>14</v>
      </c>
      <c r="D105" s="28">
        <v>4.0499999999999998E-3</v>
      </c>
      <c r="E105" s="6">
        <f>559.0155326301*1.133*1.11*1.015*1.012*1.015*1.0015*1.015</f>
        <v>745.0859203567602</v>
      </c>
      <c r="F105" s="6">
        <f t="shared" si="3"/>
        <v>3.0175979774448787</v>
      </c>
    </row>
    <row r="106" spans="1:6" ht="36" customHeight="1">
      <c r="A106" s="42">
        <f t="shared" si="2"/>
        <v>10</v>
      </c>
      <c r="B106" s="21" t="s">
        <v>62</v>
      </c>
      <c r="C106" s="42" t="s">
        <v>11</v>
      </c>
      <c r="D106" s="25">
        <f>0.049</f>
        <v>4.9000000000000002E-2</v>
      </c>
      <c r="E106" s="6">
        <f>96.363085176*1.133*1.11*1.015*1.012*1.015*1.0015*1.015</f>
        <v>128.43789450531423</v>
      </c>
      <c r="F106" s="6">
        <f t="shared" si="3"/>
        <v>6.2934568307603973</v>
      </c>
    </row>
    <row r="107" spans="1:6" ht="36" customHeight="1">
      <c r="A107" s="42">
        <f t="shared" si="2"/>
        <v>11</v>
      </c>
      <c r="B107" s="21" t="s">
        <v>63</v>
      </c>
      <c r="C107" s="42" t="s">
        <v>11</v>
      </c>
      <c r="D107" s="40">
        <f>0.006</f>
        <v>6.0000000000000001E-3</v>
      </c>
      <c r="E107" s="6">
        <f>126.70765995972*1.133*1.11*1.015*1.012*1.015*1.0015*1.015</f>
        <v>168.88277324453009</v>
      </c>
      <c r="F107" s="6">
        <f t="shared" si="3"/>
        <v>1.0132966394671805</v>
      </c>
    </row>
    <row r="108" spans="1:6" ht="25.5" customHeight="1">
      <c r="A108" s="42"/>
      <c r="B108" s="27" t="s">
        <v>67</v>
      </c>
      <c r="C108" s="42"/>
      <c r="D108" s="25"/>
      <c r="E108" s="6"/>
      <c r="F108" s="6"/>
    </row>
    <row r="109" spans="1:6" ht="25.5" customHeight="1">
      <c r="A109" s="42">
        <f t="shared" si="2"/>
        <v>1</v>
      </c>
      <c r="B109" s="21" t="s">
        <v>42</v>
      </c>
      <c r="C109" s="42" t="s">
        <v>10</v>
      </c>
      <c r="D109" s="29">
        <f>0.275*2</f>
        <v>0.55000000000000004</v>
      </c>
      <c r="E109" s="6">
        <f>2.877941*1.133*1.11*1.015*1.012*1.015*1.0015*1.015</f>
        <v>3.8358743067991714</v>
      </c>
      <c r="F109" s="6">
        <f t="shared" si="3"/>
        <v>2.1097308687395446</v>
      </c>
    </row>
    <row r="110" spans="1:6" ht="25.5" customHeight="1">
      <c r="A110" s="42">
        <f t="shared" si="2"/>
        <v>2</v>
      </c>
      <c r="B110" s="21" t="s">
        <v>33</v>
      </c>
      <c r="C110" s="42" t="s">
        <v>10</v>
      </c>
      <c r="D110" s="25">
        <f>0.192*2</f>
        <v>0.38400000000000001</v>
      </c>
      <c r="E110" s="6">
        <f>1.47036622*1.133*1.11*1.015*1.012*1.015*1.0015*1.015</f>
        <v>1.9597830549283042</v>
      </c>
      <c r="F110" s="6">
        <f t="shared" si="3"/>
        <v>0.75255669309246886</v>
      </c>
    </row>
    <row r="111" spans="1:6" ht="25.5" customHeight="1">
      <c r="A111" s="42">
        <f t="shared" si="2"/>
        <v>3</v>
      </c>
      <c r="B111" s="21" t="s">
        <v>17</v>
      </c>
      <c r="C111" s="42" t="s">
        <v>10</v>
      </c>
      <c r="D111" s="25">
        <f>0.083*2</f>
        <v>0.16600000000000001</v>
      </c>
      <c r="E111" s="6">
        <f>1.47036622*1.133*1.11*1.015*1.012*1.015*1.0015*1.015</f>
        <v>1.9597830549283042</v>
      </c>
      <c r="F111" s="6">
        <f t="shared" si="3"/>
        <v>0.32532398711809851</v>
      </c>
    </row>
    <row r="112" spans="1:6" ht="25.5" customHeight="1">
      <c r="A112" s="42">
        <f t="shared" si="2"/>
        <v>4</v>
      </c>
      <c r="B112" s="21" t="s">
        <v>25</v>
      </c>
      <c r="C112" s="42" t="s">
        <v>11</v>
      </c>
      <c r="D112" s="25">
        <f>0.006*2</f>
        <v>1.2E-2</v>
      </c>
      <c r="E112" s="6">
        <f>31.486644096*1.133*1.11*1.015*1.012*1.015*1.0015*1.015</f>
        <v>41.967090046382545</v>
      </c>
      <c r="F112" s="6">
        <f t="shared" si="3"/>
        <v>0.50360508055659059</v>
      </c>
    </row>
    <row r="113" spans="1:6" ht="36" customHeight="1">
      <c r="A113" s="42">
        <f t="shared" si="2"/>
        <v>5</v>
      </c>
      <c r="B113" s="21" t="s">
        <v>58</v>
      </c>
      <c r="C113" s="42" t="s">
        <v>10</v>
      </c>
      <c r="D113" s="25">
        <f>0.192*2</f>
        <v>0.38400000000000001</v>
      </c>
      <c r="E113" s="6">
        <f>49.6801934733808*1.133*1.11*1.015*1.012*1.015*1.0015*1.015</f>
        <v>66.216429628457746</v>
      </c>
      <c r="F113" s="6">
        <f t="shared" si="3"/>
        <v>25.427108977327777</v>
      </c>
    </row>
    <row r="114" spans="1:6" ht="25.5" customHeight="1">
      <c r="A114" s="42">
        <f t="shared" si="2"/>
        <v>6</v>
      </c>
      <c r="B114" s="21" t="s">
        <v>59</v>
      </c>
      <c r="C114" s="42" t="s">
        <v>10</v>
      </c>
      <c r="D114" s="25">
        <f>0.094</f>
        <v>9.4E-2</v>
      </c>
      <c r="E114" s="6">
        <f>176.7695290301*1.133*1.11*1.015*1.012*1.015*1.0015*1.015</f>
        <v>235.60792060419269</v>
      </c>
      <c r="F114" s="6">
        <f t="shared" si="3"/>
        <v>22.147144536794112</v>
      </c>
    </row>
    <row r="115" spans="1:6" ht="25.5" customHeight="1">
      <c r="A115" s="42">
        <f t="shared" si="2"/>
        <v>7</v>
      </c>
      <c r="B115" s="21" t="s">
        <v>60</v>
      </c>
      <c r="C115" s="42" t="s">
        <v>9</v>
      </c>
      <c r="D115" s="25">
        <v>9.6</v>
      </c>
      <c r="E115" s="6">
        <f>1.98328851*1.133*1.11*1.015*1.012*1.015*1.0015*1.015</f>
        <v>2.6434334263555126</v>
      </c>
      <c r="F115" s="6">
        <f t="shared" si="3"/>
        <v>25.376960893012921</v>
      </c>
    </row>
    <row r="116" spans="1:6" ht="25.5" customHeight="1">
      <c r="A116" s="42">
        <f t="shared" si="2"/>
        <v>8</v>
      </c>
      <c r="B116" s="21" t="s">
        <v>66</v>
      </c>
      <c r="C116" s="42" t="s">
        <v>13</v>
      </c>
      <c r="D116" s="25">
        <v>4.5</v>
      </c>
      <c r="E116" s="6">
        <f>1.1666403*1.133*1.11*1.015*1.012*1.015*1.0015*1.015</f>
        <v>1.5549608390326553</v>
      </c>
      <c r="F116" s="6">
        <f t="shared" si="3"/>
        <v>6.9973237756469491</v>
      </c>
    </row>
    <row r="117" spans="1:6" ht="25.5" customHeight="1">
      <c r="A117" s="42">
        <f t="shared" si="2"/>
        <v>9</v>
      </c>
      <c r="B117" s="21" t="s">
        <v>61</v>
      </c>
      <c r="C117" s="42" t="s">
        <v>14</v>
      </c>
      <c r="D117" s="30">
        <v>6.1000000000000004E-3</v>
      </c>
      <c r="E117" s="6">
        <f>559.0155326301*1.133*1.11*1.015*1.012*1.015*1.0015*1.015</f>
        <v>745.0859203567602</v>
      </c>
      <c r="F117" s="6">
        <f t="shared" si="3"/>
        <v>4.5450241141762371</v>
      </c>
    </row>
    <row r="118" spans="1:6" ht="36" customHeight="1">
      <c r="A118" s="42">
        <f t="shared" si="2"/>
        <v>10</v>
      </c>
      <c r="B118" s="21" t="s">
        <v>62</v>
      </c>
      <c r="C118" s="42" t="s">
        <v>11</v>
      </c>
      <c r="D118" s="25">
        <f>0.0275*2</f>
        <v>5.5E-2</v>
      </c>
      <c r="E118" s="6">
        <f>96.363085176*1.133*1.11*1.015*1.012*1.015*1.0015*1.015</f>
        <v>128.43789450531423</v>
      </c>
      <c r="F118" s="6">
        <f t="shared" si="3"/>
        <v>7.0640841977922832</v>
      </c>
    </row>
    <row r="119" spans="1:6" ht="36" customHeight="1">
      <c r="A119" s="42">
        <f t="shared" si="2"/>
        <v>11</v>
      </c>
      <c r="B119" s="21" t="s">
        <v>63</v>
      </c>
      <c r="C119" s="42" t="s">
        <v>11</v>
      </c>
      <c r="D119" s="40">
        <f>0.0045*2</f>
        <v>8.9999999999999993E-3</v>
      </c>
      <c r="E119" s="6">
        <f>126.70765995972*1.133*1.11*1.015*1.012*1.015*1.0015*1.015</f>
        <v>168.88277324453009</v>
      </c>
      <c r="F119" s="6">
        <f t="shared" si="3"/>
        <v>1.5199449592007706</v>
      </c>
    </row>
    <row r="120" spans="1:6" ht="25.5" customHeight="1">
      <c r="A120" s="42"/>
      <c r="B120" s="45" t="s">
        <v>92</v>
      </c>
      <c r="C120" s="42"/>
      <c r="D120" s="42"/>
      <c r="E120" s="6"/>
      <c r="F120" s="6"/>
    </row>
    <row r="121" spans="1:6" ht="25.5" customHeight="1">
      <c r="A121" s="42"/>
      <c r="B121" s="27" t="s">
        <v>68</v>
      </c>
      <c r="C121" s="35"/>
      <c r="D121" s="35"/>
      <c r="E121" s="6"/>
      <c r="F121" s="6"/>
    </row>
    <row r="122" spans="1:6" ht="36" customHeight="1">
      <c r="A122" s="42">
        <f t="shared" si="2"/>
        <v>1</v>
      </c>
      <c r="B122" s="36" t="s">
        <v>69</v>
      </c>
      <c r="C122" s="34" t="s">
        <v>10</v>
      </c>
      <c r="D122" s="46">
        <v>12.2</v>
      </c>
      <c r="E122" s="6">
        <f>14.021006*1.133*1.11*1.015*1.012*1.015*1.0015*1.015</f>
        <v>18.687949708099307</v>
      </c>
      <c r="F122" s="6">
        <f t="shared" si="3"/>
        <v>227.99298643881153</v>
      </c>
    </row>
    <row r="123" spans="1:6" ht="36" customHeight="1">
      <c r="A123" s="42">
        <f t="shared" si="2"/>
        <v>2</v>
      </c>
      <c r="B123" s="36" t="s">
        <v>88</v>
      </c>
      <c r="C123" s="34" t="s">
        <v>10</v>
      </c>
      <c r="D123" s="46">
        <v>6</v>
      </c>
      <c r="E123" s="6">
        <f>22.338322*1.133*1.11*1.015*1.012*1.015*1.0015*1.015</f>
        <v>29.773715102848421</v>
      </c>
      <c r="F123" s="6">
        <f t="shared" si="3"/>
        <v>178.64229061709051</v>
      </c>
    </row>
    <row r="124" spans="1:6" ht="48.75" customHeight="1">
      <c r="A124" s="42">
        <f t="shared" si="2"/>
        <v>3</v>
      </c>
      <c r="B124" s="36" t="s">
        <v>89</v>
      </c>
      <c r="C124" s="34" t="s">
        <v>14</v>
      </c>
      <c r="D124" s="46">
        <v>0.25800000000000001</v>
      </c>
      <c r="E124" s="6">
        <f>27.1748867*1.133*1.11*1.015*1.012*1.015*1.0015*1.015</f>
        <v>36.220148252764218</v>
      </c>
      <c r="F124" s="6">
        <f t="shared" si="3"/>
        <v>9.3447982492131683</v>
      </c>
    </row>
    <row r="125" spans="1:6" ht="51.75" customHeight="1">
      <c r="A125" s="42">
        <f t="shared" si="2"/>
        <v>4</v>
      </c>
      <c r="B125" s="36" t="s">
        <v>70</v>
      </c>
      <c r="C125" s="42" t="s">
        <v>24</v>
      </c>
      <c r="D125" s="31">
        <v>3</v>
      </c>
      <c r="E125" s="6">
        <f>6.24244185*1.133*1.11*1.015*1.012*1.015*1.0015*1.015</f>
        <v>8.3202617093619651</v>
      </c>
      <c r="F125" s="6">
        <f t="shared" si="3"/>
        <v>24.960785128085895</v>
      </c>
    </row>
    <row r="126" spans="1:6" ht="53.25" customHeight="1">
      <c r="A126" s="42">
        <f t="shared" si="2"/>
        <v>5</v>
      </c>
      <c r="B126" s="36" t="s">
        <v>90</v>
      </c>
      <c r="C126" s="34" t="s">
        <v>9</v>
      </c>
      <c r="D126" s="46">
        <v>95</v>
      </c>
      <c r="E126" s="6">
        <f>4.7731889*1.133*1.11*1.015*1.012*1.015*1.0015*1.015</f>
        <v>6.3619624804709343</v>
      </c>
      <c r="F126" s="6">
        <f t="shared" si="3"/>
        <v>604.38643564473875</v>
      </c>
    </row>
    <row r="127" spans="1:6" ht="36" customHeight="1">
      <c r="A127" s="42">
        <f t="shared" si="2"/>
        <v>6</v>
      </c>
      <c r="B127" s="36" t="s">
        <v>18</v>
      </c>
      <c r="C127" s="34" t="s">
        <v>71</v>
      </c>
      <c r="D127" s="38">
        <v>3.9199999999999999E-2</v>
      </c>
      <c r="E127" s="6">
        <f>687.3357006*1.133*1.11*1.015*1.012*1.015*1.0015*1.015</f>
        <v>916.11793086701493</v>
      </c>
      <c r="F127" s="6">
        <f t="shared" si="3"/>
        <v>35.911822889986986</v>
      </c>
    </row>
    <row r="128" spans="1:6" ht="25.5" customHeight="1">
      <c r="A128" s="42">
        <f t="shared" si="2"/>
        <v>7</v>
      </c>
      <c r="B128" s="21" t="s">
        <v>16</v>
      </c>
      <c r="C128" s="42" t="s">
        <v>10</v>
      </c>
      <c r="D128" s="25">
        <v>9.9</v>
      </c>
      <c r="E128" s="6">
        <f>2.877941*1.133*1.11*1.015*1.012*1.015*1.0015*1.015</f>
        <v>3.8358743067991714</v>
      </c>
      <c r="F128" s="6">
        <f t="shared" si="3"/>
        <v>37.975155637311801</v>
      </c>
    </row>
    <row r="129" spans="1:6" ht="25.5" customHeight="1">
      <c r="A129" s="42">
        <f t="shared" si="2"/>
        <v>8</v>
      </c>
      <c r="B129" s="21" t="s">
        <v>17</v>
      </c>
      <c r="C129" s="42" t="s">
        <v>10</v>
      </c>
      <c r="D129" s="25">
        <v>18.649999999999999</v>
      </c>
      <c r="E129" s="6">
        <f>1.47036622*1.133*1.11*1.015*1.012*1.015*1.0015*1.015</f>
        <v>1.9597830549283042</v>
      </c>
      <c r="F129" s="6">
        <f t="shared" si="3"/>
        <v>36.549953974412873</v>
      </c>
    </row>
    <row r="130" spans="1:6" ht="25.5" customHeight="1">
      <c r="A130" s="42">
        <f t="shared" si="2"/>
        <v>9</v>
      </c>
      <c r="B130" s="21" t="s">
        <v>19</v>
      </c>
      <c r="C130" s="42" t="s">
        <v>14</v>
      </c>
      <c r="D130" s="26">
        <v>91.4</v>
      </c>
      <c r="E130" s="6">
        <f>0.3336*1.133*1.11*1.015*1.012*1.015*1.0015*1.015</f>
        <v>0.44463999392211434</v>
      </c>
      <c r="F130" s="6">
        <f t="shared" si="3"/>
        <v>40.640095444481254</v>
      </c>
    </row>
    <row r="131" spans="1:6" ht="25.5" customHeight="1">
      <c r="A131" s="42">
        <f t="shared" si="2"/>
        <v>10</v>
      </c>
      <c r="B131" s="21" t="s">
        <v>25</v>
      </c>
      <c r="C131" s="42" t="s">
        <v>11</v>
      </c>
      <c r="D131" s="25">
        <v>0.63800000000000001</v>
      </c>
      <c r="E131" s="6">
        <f>31.486644096*1.133*1.11*1.015*1.012*1.015*1.0015*1.015</f>
        <v>41.967090046382545</v>
      </c>
      <c r="F131" s="6">
        <f t="shared" si="3"/>
        <v>26.775003449592063</v>
      </c>
    </row>
    <row r="132" spans="1:6" ht="36" customHeight="1">
      <c r="A132" s="42">
        <f t="shared" si="2"/>
        <v>11</v>
      </c>
      <c r="B132" s="21" t="s">
        <v>20</v>
      </c>
      <c r="C132" s="42" t="s">
        <v>10</v>
      </c>
      <c r="D132" s="25">
        <v>34.4</v>
      </c>
      <c r="E132" s="6">
        <f>33.255367819799*1.133*1.11*1.015*1.012*1.015*1.0015*1.015</f>
        <v>44.324540003816267</v>
      </c>
      <c r="F132" s="6">
        <f t="shared" si="3"/>
        <v>1524.7641761312796</v>
      </c>
    </row>
    <row r="133" spans="1:6" ht="36" customHeight="1">
      <c r="A133" s="42">
        <f t="shared" si="2"/>
        <v>12</v>
      </c>
      <c r="B133" s="21" t="s">
        <v>21</v>
      </c>
      <c r="C133" s="42" t="s">
        <v>10</v>
      </c>
      <c r="D133" s="25">
        <v>15.55</v>
      </c>
      <c r="E133" s="6">
        <f>42.2536462528716*1.133*1.11*1.015*1.012*1.015*1.0015*1.015</f>
        <v>56.317928696234993</v>
      </c>
      <c r="F133" s="6">
        <f t="shared" si="3"/>
        <v>875.74379122645416</v>
      </c>
    </row>
    <row r="134" spans="1:6" ht="25.5" customHeight="1">
      <c r="A134" s="42">
        <f t="shared" si="2"/>
        <v>13</v>
      </c>
      <c r="B134" s="21" t="s">
        <v>23</v>
      </c>
      <c r="C134" s="42" t="s">
        <v>10</v>
      </c>
      <c r="D134" s="25">
        <v>10.64</v>
      </c>
      <c r="E134" s="6">
        <f>26.209017352308*1.133*1.11*1.015*1.012*1.015*1.0015*1.015</f>
        <v>34.932785720128358</v>
      </c>
      <c r="F134" s="6">
        <f t="shared" si="3"/>
        <v>371.68484006216573</v>
      </c>
    </row>
    <row r="135" spans="1:6" ht="25.5" customHeight="1">
      <c r="A135" s="42">
        <f t="shared" si="2"/>
        <v>14</v>
      </c>
      <c r="B135" s="21" t="s">
        <v>26</v>
      </c>
      <c r="C135" s="42" t="s">
        <v>10</v>
      </c>
      <c r="D135" s="25">
        <v>24.5</v>
      </c>
      <c r="E135" s="6">
        <f>26.209017352308*1.133*1.11*1.015*1.012*1.015*1.0015*1.015</f>
        <v>34.932785720128358</v>
      </c>
      <c r="F135" s="6">
        <f t="shared" si="3"/>
        <v>855.85325014314481</v>
      </c>
    </row>
    <row r="136" spans="1:6" ht="36" customHeight="1">
      <c r="A136" s="42">
        <f t="shared" si="2"/>
        <v>15</v>
      </c>
      <c r="B136" s="21" t="s">
        <v>27</v>
      </c>
      <c r="C136" s="42" t="s">
        <v>12</v>
      </c>
      <c r="D136" s="29">
        <v>30.45</v>
      </c>
      <c r="E136" s="6">
        <f>24.3558606094*1.133*1.11*1.015*1.012*1.015*1.0015*1.015</f>
        <v>32.462798900873743</v>
      </c>
      <c r="F136" s="6">
        <f t="shared" si="3"/>
        <v>988.49222653160541</v>
      </c>
    </row>
    <row r="137" spans="1:6" ht="36" customHeight="1">
      <c r="A137" s="42">
        <f t="shared" si="2"/>
        <v>16</v>
      </c>
      <c r="B137" s="21" t="s">
        <v>28</v>
      </c>
      <c r="C137" s="42" t="s">
        <v>12</v>
      </c>
      <c r="D137" s="29">
        <v>11.75</v>
      </c>
      <c r="E137" s="6">
        <f>24.3558606094*1.133*1.11*1.015*1.012*1.015*1.0015*1.015</f>
        <v>32.462798900873743</v>
      </c>
      <c r="F137" s="6">
        <f t="shared" si="3"/>
        <v>381.43788708526648</v>
      </c>
    </row>
    <row r="138" spans="1:6" ht="36" customHeight="1">
      <c r="A138" s="42">
        <f t="shared" si="2"/>
        <v>17</v>
      </c>
      <c r="B138" s="21" t="s">
        <v>22</v>
      </c>
      <c r="C138" s="42" t="s">
        <v>12</v>
      </c>
      <c r="D138" s="26">
        <v>73.3</v>
      </c>
      <c r="E138" s="6">
        <f>23.164534200652*1.133*1.11*1.015*1.012*1.015*1.0015*1.015</f>
        <v>30.87493509048716</v>
      </c>
      <c r="F138" s="6">
        <f t="shared" si="3"/>
        <v>2263.1327421327087</v>
      </c>
    </row>
    <row r="139" spans="1:6" ht="36" customHeight="1">
      <c r="A139" s="42">
        <f t="shared" si="2"/>
        <v>18</v>
      </c>
      <c r="B139" s="21" t="s">
        <v>29</v>
      </c>
      <c r="C139" s="42" t="s">
        <v>14</v>
      </c>
      <c r="D139" s="30">
        <v>0.47320000000000001</v>
      </c>
      <c r="E139" s="6">
        <f>321.901097598119*1.133*1.11*1.015*1.012*1.015*1.0015*1.015</f>
        <v>429.04706858378171</v>
      </c>
      <c r="F139" s="6">
        <f t="shared" si="3"/>
        <v>203.0250728538455</v>
      </c>
    </row>
    <row r="140" spans="1:6" ht="25.5" customHeight="1">
      <c r="A140" s="42">
        <f t="shared" si="2"/>
        <v>19</v>
      </c>
      <c r="B140" s="21" t="s">
        <v>30</v>
      </c>
      <c r="C140" s="42" t="s">
        <v>12</v>
      </c>
      <c r="D140" s="25">
        <v>73.3</v>
      </c>
      <c r="E140" s="6">
        <f>0.874980225*1.133*1.11*1.015*1.012*1.015*1.0015*1.015</f>
        <v>1.166220629274491</v>
      </c>
      <c r="F140" s="6">
        <f t="shared" si="3"/>
        <v>85.483972125820188</v>
      </c>
    </row>
    <row r="141" spans="1:6" ht="36" customHeight="1">
      <c r="A141" s="42">
        <f t="shared" ref="A141:A204" si="4">1+A140</f>
        <v>20</v>
      </c>
      <c r="B141" s="21" t="s">
        <v>31</v>
      </c>
      <c r="C141" s="42" t="s">
        <v>14</v>
      </c>
      <c r="D141" s="28">
        <v>0.16864999999999999</v>
      </c>
      <c r="E141" s="6">
        <f>387.804346206256*1.133*1.11*1.015*1.012*1.015*1.0015*1.015</f>
        <v>516.88645725455399</v>
      </c>
      <c r="F141" s="6">
        <f t="shared" ref="F141:F204" si="5">E141*D141</f>
        <v>87.172901015980528</v>
      </c>
    </row>
    <row r="142" spans="1:6" ht="25.5" customHeight="1">
      <c r="A142" s="42">
        <f t="shared" si="4"/>
        <v>21</v>
      </c>
      <c r="B142" s="21" t="s">
        <v>15</v>
      </c>
      <c r="C142" s="42" t="s">
        <v>14</v>
      </c>
      <c r="D142" s="25">
        <v>5.885E-2</v>
      </c>
      <c r="E142" s="6">
        <f>384.464562699*1.133*1.11*1.015*1.012*1.015*1.0015*1.015</f>
        <v>512.43501445369213</v>
      </c>
      <c r="F142" s="6">
        <f t="shared" si="5"/>
        <v>30.15680060059978</v>
      </c>
    </row>
    <row r="143" spans="1:6" ht="25.5" customHeight="1">
      <c r="A143" s="42"/>
      <c r="B143" s="27" t="s">
        <v>44</v>
      </c>
      <c r="C143" s="35"/>
      <c r="D143" s="37"/>
      <c r="E143" s="6"/>
      <c r="F143" s="6"/>
    </row>
    <row r="144" spans="1:6" ht="25.5" customHeight="1">
      <c r="A144" s="42">
        <f t="shared" si="4"/>
        <v>1</v>
      </c>
      <c r="B144" s="21" t="s">
        <v>42</v>
      </c>
      <c r="C144" s="42" t="s">
        <v>10</v>
      </c>
      <c r="D144" s="25">
        <f>1.25*2</f>
        <v>2.5</v>
      </c>
      <c r="E144" s="6">
        <f>2.877941*1.133*1.11*1.015*1.012*1.015*1.0015*1.015</f>
        <v>3.8358743067991714</v>
      </c>
      <c r="F144" s="6">
        <f t="shared" si="5"/>
        <v>9.5896857669979276</v>
      </c>
    </row>
    <row r="145" spans="1:6" ht="25.5" customHeight="1">
      <c r="A145" s="42">
        <f t="shared" si="4"/>
        <v>2</v>
      </c>
      <c r="B145" s="21" t="s">
        <v>17</v>
      </c>
      <c r="C145" s="42" t="s">
        <v>10</v>
      </c>
      <c r="D145" s="25">
        <f>0.37*2</f>
        <v>0.74</v>
      </c>
      <c r="E145" s="6">
        <f>1.47036622*1.133*1.11*1.015*1.012*1.015*1.0015*1.015</f>
        <v>1.9597830549283042</v>
      </c>
      <c r="F145" s="6">
        <f t="shared" si="5"/>
        <v>1.4502394606469451</v>
      </c>
    </row>
    <row r="146" spans="1:6" ht="25.5" customHeight="1">
      <c r="A146" s="42">
        <f t="shared" si="4"/>
        <v>3</v>
      </c>
      <c r="B146" s="21" t="s">
        <v>33</v>
      </c>
      <c r="C146" s="42" t="s">
        <v>10</v>
      </c>
      <c r="D146" s="25">
        <f>0.88*2</f>
        <v>1.76</v>
      </c>
      <c r="E146" s="6">
        <f>1.47036622*1.133*1.11*1.015*1.012*1.015*1.0015*1.015</f>
        <v>1.9597830549283042</v>
      </c>
      <c r="F146" s="6">
        <f t="shared" si="5"/>
        <v>3.4492181766738153</v>
      </c>
    </row>
    <row r="147" spans="1:6" ht="25.5" customHeight="1">
      <c r="A147" s="42">
        <f t="shared" si="4"/>
        <v>4</v>
      </c>
      <c r="B147" s="21" t="s">
        <v>25</v>
      </c>
      <c r="C147" s="42" t="s">
        <v>11</v>
      </c>
      <c r="D147" s="25">
        <f>0.0192*2</f>
        <v>3.8399999999999997E-2</v>
      </c>
      <c r="E147" s="6">
        <f>31.486644096*1.133*1.11*1.015*1.012*1.015*1.0015*1.015</f>
        <v>41.967090046382545</v>
      </c>
      <c r="F147" s="6">
        <f t="shared" si="5"/>
        <v>1.6115362577810897</v>
      </c>
    </row>
    <row r="148" spans="1:6" ht="36" customHeight="1">
      <c r="A148" s="42">
        <f t="shared" si="4"/>
        <v>5</v>
      </c>
      <c r="B148" s="21" t="s">
        <v>83</v>
      </c>
      <c r="C148" s="42" t="s">
        <v>10</v>
      </c>
      <c r="D148" s="40">
        <f>0.036*2</f>
        <v>7.1999999999999995E-2</v>
      </c>
      <c r="E148" s="6">
        <f>36.962682615*1.133*1.11*1.015*1.012*1.015*1.0015*1.015</f>
        <v>49.265848241242928</v>
      </c>
      <c r="F148" s="6">
        <f t="shared" si="5"/>
        <v>3.5471410733694904</v>
      </c>
    </row>
    <row r="149" spans="1:6" ht="36" customHeight="1">
      <c r="A149" s="42">
        <f t="shared" si="4"/>
        <v>6</v>
      </c>
      <c r="B149" s="21" t="s">
        <v>43</v>
      </c>
      <c r="C149" s="42" t="s">
        <v>10</v>
      </c>
      <c r="D149" s="25">
        <f>0.648*2</f>
        <v>1.296</v>
      </c>
      <c r="E149" s="6">
        <f>51.1603683540058*1.133*1.11*1.015*1.012*1.015*1.0015*1.015</f>
        <v>68.189286192980433</v>
      </c>
      <c r="F149" s="6">
        <f t="shared" si="5"/>
        <v>88.37331490610265</v>
      </c>
    </row>
    <row r="150" spans="1:6" ht="36" customHeight="1">
      <c r="A150" s="42">
        <f t="shared" si="4"/>
        <v>7</v>
      </c>
      <c r="B150" s="8" t="s">
        <v>84</v>
      </c>
      <c r="C150" s="42" t="s">
        <v>14</v>
      </c>
      <c r="D150" s="40">
        <v>0.57099999999999995</v>
      </c>
      <c r="E150" s="6">
        <f>272.42550598163*1.133*1.11*1.015*1.012*1.015*1.0015*1.015</f>
        <v>363.10334329706501</v>
      </c>
      <c r="F150" s="6">
        <f t="shared" si="5"/>
        <v>207.33200902262411</v>
      </c>
    </row>
    <row r="151" spans="1:6" ht="36" customHeight="1">
      <c r="A151" s="42">
        <f t="shared" si="4"/>
        <v>8</v>
      </c>
      <c r="B151" s="21" t="s">
        <v>34</v>
      </c>
      <c r="C151" s="42" t="s">
        <v>9</v>
      </c>
      <c r="D151" s="31">
        <v>15</v>
      </c>
      <c r="E151" s="6">
        <f>3.2910922863*1.133*1.11*1.015*1.012*1.015*1.0015*1.015</f>
        <v>4.3865445269111198</v>
      </c>
      <c r="F151" s="6">
        <f t="shared" si="5"/>
        <v>65.798167903666794</v>
      </c>
    </row>
    <row r="152" spans="1:6" ht="36" customHeight="1">
      <c r="A152" s="42">
        <f t="shared" si="4"/>
        <v>9</v>
      </c>
      <c r="B152" s="21" t="s">
        <v>35</v>
      </c>
      <c r="C152" s="42" t="s">
        <v>9</v>
      </c>
      <c r="D152" s="26">
        <v>50.7</v>
      </c>
      <c r="E152" s="6">
        <f>1.5562981602*1.133*1.11*1.015*1.012*1.015*1.0015*1.015</f>
        <v>2.0743177592695612</v>
      </c>
      <c r="F152" s="6">
        <f t="shared" si="5"/>
        <v>105.16791039496675</v>
      </c>
    </row>
    <row r="153" spans="1:6" ht="25.5" customHeight="1">
      <c r="A153" s="42">
        <f t="shared" si="4"/>
        <v>10</v>
      </c>
      <c r="B153" s="21" t="s">
        <v>87</v>
      </c>
      <c r="C153" s="42" t="s">
        <v>9</v>
      </c>
      <c r="D153" s="26">
        <f>0.8*2</f>
        <v>1.6</v>
      </c>
      <c r="E153" s="6">
        <f>1.3603025898*1.133*1.11*1.015*1.012*1.015*1.0015*1.015</f>
        <v>1.8130843383120754</v>
      </c>
      <c r="F153" s="6">
        <f t="shared" si="5"/>
        <v>2.9009349412993206</v>
      </c>
    </row>
    <row r="154" spans="1:6" ht="36" customHeight="1">
      <c r="A154" s="42">
        <f t="shared" si="4"/>
        <v>11</v>
      </c>
      <c r="B154" s="21" t="s">
        <v>36</v>
      </c>
      <c r="C154" s="42" t="s">
        <v>9</v>
      </c>
      <c r="D154" s="26">
        <v>125.8</v>
      </c>
      <c r="E154" s="6">
        <f>0.1609963614*1.133*1.11*1.015*1.012*1.015*1.0015*1.015</f>
        <v>0.2145845957865064</v>
      </c>
      <c r="F154" s="6">
        <f t="shared" si="5"/>
        <v>26.994742149942503</v>
      </c>
    </row>
    <row r="155" spans="1:6" ht="25.5" customHeight="1">
      <c r="A155" s="42">
        <f t="shared" si="4"/>
        <v>12</v>
      </c>
      <c r="B155" s="21" t="s">
        <v>85</v>
      </c>
      <c r="C155" s="42" t="s">
        <v>9</v>
      </c>
      <c r="D155" s="31">
        <f>5*2</f>
        <v>10</v>
      </c>
      <c r="E155" s="6">
        <f>2.91660075*1.133*1.11*1.015*1.012*1.015*1.0015*1.015</f>
        <v>3.8874020975816372</v>
      </c>
      <c r="F155" s="6">
        <f t="shared" si="5"/>
        <v>38.874020975816372</v>
      </c>
    </row>
    <row r="156" spans="1:6" ht="25.5" customHeight="1">
      <c r="A156" s="42">
        <f t="shared" si="4"/>
        <v>13</v>
      </c>
      <c r="B156" s="21" t="s">
        <v>32</v>
      </c>
      <c r="C156" s="42" t="s">
        <v>14</v>
      </c>
      <c r="D156" s="30">
        <f>0.0642</f>
        <v>6.4199999999999993E-2</v>
      </c>
      <c r="E156" s="6">
        <f>559.0155326301*1.133*1.11*1.015*1.012*1.015*1.0015*1.015</f>
        <v>745.0859203567602</v>
      </c>
      <c r="F156" s="6">
        <f t="shared" si="5"/>
        <v>47.834516086904003</v>
      </c>
    </row>
    <row r="157" spans="1:6" ht="25.5" customHeight="1">
      <c r="A157" s="42">
        <f t="shared" si="4"/>
        <v>14</v>
      </c>
      <c r="B157" s="21" t="s">
        <v>38</v>
      </c>
      <c r="C157" s="42" t="s">
        <v>14</v>
      </c>
      <c r="D157" s="30">
        <f>0.0132</f>
        <v>1.32E-2</v>
      </c>
      <c r="E157" s="6">
        <f>324.710994699*1.133*1.11*1.015*1.012*1.015*1.0015*1.015</f>
        <v>432.79225032795881</v>
      </c>
      <c r="F157" s="6">
        <f t="shared" si="5"/>
        <v>5.712857704329056</v>
      </c>
    </row>
    <row r="158" spans="1:6" ht="25.5" customHeight="1">
      <c r="A158" s="42">
        <f t="shared" si="4"/>
        <v>15</v>
      </c>
      <c r="B158" s="21" t="s">
        <v>86</v>
      </c>
      <c r="C158" s="42" t="s">
        <v>14</v>
      </c>
      <c r="D158" s="30">
        <f>0.0012*2</f>
        <v>2.3999999999999998E-3</v>
      </c>
      <c r="E158" s="6">
        <f>324.710994699*1.133*1.11*1.015*1.012*1.015*1.0015*1.015</f>
        <v>432.79225032795881</v>
      </c>
      <c r="F158" s="6">
        <f t="shared" si="5"/>
        <v>1.0387014007871012</v>
      </c>
    </row>
    <row r="159" spans="1:6" ht="25.5" customHeight="1">
      <c r="A159" s="42">
        <f t="shared" si="4"/>
        <v>16</v>
      </c>
      <c r="B159" s="21" t="s">
        <v>37</v>
      </c>
      <c r="C159" s="42" t="s">
        <v>24</v>
      </c>
      <c r="D159" s="31">
        <v>12</v>
      </c>
      <c r="E159" s="6">
        <f>0.58332015*1.133*1.11*1.015*1.012*1.015*1.0015*1.015</f>
        <v>0.77748041951632763</v>
      </c>
      <c r="F159" s="6">
        <f t="shared" si="5"/>
        <v>9.3297650341959315</v>
      </c>
    </row>
    <row r="160" spans="1:6" ht="25.5" customHeight="1">
      <c r="A160" s="42">
        <f t="shared" si="4"/>
        <v>17</v>
      </c>
      <c r="B160" s="21" t="s">
        <v>39</v>
      </c>
      <c r="C160" s="42" t="s">
        <v>24</v>
      </c>
      <c r="D160" s="31">
        <v>6</v>
      </c>
      <c r="E160" s="6">
        <f>0.151663239*1.133*1.11*1.015*1.012*1.015*1.0015*1.015</f>
        <v>0.20214490907424509</v>
      </c>
      <c r="F160" s="6">
        <f t="shared" si="5"/>
        <v>1.2128694544454706</v>
      </c>
    </row>
    <row r="161" spans="1:6" ht="25.5" customHeight="1">
      <c r="A161" s="42">
        <f t="shared" si="4"/>
        <v>18</v>
      </c>
      <c r="B161" s="21" t="s">
        <v>40</v>
      </c>
      <c r="C161" s="42" t="s">
        <v>24</v>
      </c>
      <c r="D161" s="31">
        <v>12</v>
      </c>
      <c r="E161" s="6">
        <f>3.4999209*1.133*1.11*1.015*1.012*1.015*1.0015*1.015</f>
        <v>4.664882517097964</v>
      </c>
      <c r="F161" s="6">
        <f t="shared" si="5"/>
        <v>55.978590205175564</v>
      </c>
    </row>
    <row r="162" spans="1:6" ht="36" customHeight="1">
      <c r="A162" s="42">
        <f t="shared" si="4"/>
        <v>19</v>
      </c>
      <c r="B162" s="21" t="s">
        <v>41</v>
      </c>
      <c r="C162" s="42" t="s">
        <v>11</v>
      </c>
      <c r="D162" s="29">
        <f>0.175*2</f>
        <v>0.35</v>
      </c>
      <c r="E162" s="6">
        <f>126.70765995972*1.133*1.11*1.015*1.012*1.015*1.0015*1.015</f>
        <v>168.88277324453009</v>
      </c>
      <c r="F162" s="6">
        <f t="shared" si="5"/>
        <v>59.108970635585528</v>
      </c>
    </row>
    <row r="163" spans="1:6" ht="25.5" customHeight="1">
      <c r="A163" s="42"/>
      <c r="B163" s="27" t="s">
        <v>46</v>
      </c>
      <c r="C163" s="35"/>
      <c r="D163" s="37"/>
      <c r="E163" s="6"/>
      <c r="F163" s="6"/>
    </row>
    <row r="164" spans="1:6" ht="25.5" customHeight="1">
      <c r="A164" s="42">
        <f t="shared" si="4"/>
        <v>1</v>
      </c>
      <c r="B164" s="21" t="s">
        <v>42</v>
      </c>
      <c r="C164" s="42" t="s">
        <v>10</v>
      </c>
      <c r="D164" s="25">
        <f>0.8</f>
        <v>0.8</v>
      </c>
      <c r="E164" s="6">
        <f>2.877941*1.133*1.11*1.015*1.012*1.015*1.0015*1.015</f>
        <v>3.8358743067991714</v>
      </c>
      <c r="F164" s="6">
        <f t="shared" si="5"/>
        <v>3.0686994454393375</v>
      </c>
    </row>
    <row r="165" spans="1:6" ht="25.5" customHeight="1">
      <c r="A165" s="42">
        <f t="shared" si="4"/>
        <v>2</v>
      </c>
      <c r="B165" s="21" t="s">
        <v>17</v>
      </c>
      <c r="C165" s="42" t="s">
        <v>10</v>
      </c>
      <c r="D165" s="25">
        <f>0.24</f>
        <v>0.24</v>
      </c>
      <c r="E165" s="6">
        <f>1.47036622*1.133*1.11*1.015*1.012*1.015*1.0015*1.015</f>
        <v>1.9597830549283042</v>
      </c>
      <c r="F165" s="6">
        <f t="shared" si="5"/>
        <v>0.470347933182793</v>
      </c>
    </row>
    <row r="166" spans="1:6" ht="25.5" customHeight="1">
      <c r="A166" s="42">
        <f t="shared" si="4"/>
        <v>3</v>
      </c>
      <c r="B166" s="21" t="s">
        <v>33</v>
      </c>
      <c r="C166" s="42" t="s">
        <v>10</v>
      </c>
      <c r="D166" s="25">
        <f>0.56</f>
        <v>0.56000000000000005</v>
      </c>
      <c r="E166" s="6">
        <f>1.47036622*1.133*1.11*1.015*1.012*1.015*1.0015*1.015</f>
        <v>1.9597830549283042</v>
      </c>
      <c r="F166" s="6">
        <f t="shared" si="5"/>
        <v>1.0974785107598504</v>
      </c>
    </row>
    <row r="167" spans="1:6" ht="25.5" customHeight="1">
      <c r="A167" s="42">
        <f t="shared" si="4"/>
        <v>4</v>
      </c>
      <c r="B167" s="21" t="s">
        <v>25</v>
      </c>
      <c r="C167" s="42" t="s">
        <v>11</v>
      </c>
      <c r="D167" s="25">
        <f>0.0128</f>
        <v>1.2800000000000001E-2</v>
      </c>
      <c r="E167" s="6">
        <f>31.486644096*1.133*1.11*1.015*1.012*1.015*1.0015*1.015</f>
        <v>41.967090046382545</v>
      </c>
      <c r="F167" s="6">
        <f t="shared" si="5"/>
        <v>0.53717875259369663</v>
      </c>
    </row>
    <row r="168" spans="1:6" ht="36" customHeight="1">
      <c r="A168" s="42">
        <f t="shared" si="4"/>
        <v>5</v>
      </c>
      <c r="B168" s="21" t="s">
        <v>43</v>
      </c>
      <c r="C168" s="42" t="s">
        <v>10</v>
      </c>
      <c r="D168" s="25">
        <f>0.432</f>
        <v>0.432</v>
      </c>
      <c r="E168" s="6">
        <f>51.1603683540058*1.133*1.11*1.015*1.012*1.015*1.0015*1.015</f>
        <v>68.189286192980433</v>
      </c>
      <c r="F168" s="6">
        <f t="shared" si="5"/>
        <v>29.457771635367546</v>
      </c>
    </row>
    <row r="169" spans="1:6" ht="36" customHeight="1">
      <c r="A169" s="42">
        <f t="shared" si="4"/>
        <v>6</v>
      </c>
      <c r="B169" s="8" t="s">
        <v>45</v>
      </c>
      <c r="C169" s="42" t="s">
        <v>14</v>
      </c>
      <c r="D169" s="28">
        <f>0.09385</f>
        <v>9.3850000000000003E-2</v>
      </c>
      <c r="E169" s="6">
        <f>272.42550598163*1.133*1.11*1.015*1.012*1.015*1.0015*1.015</f>
        <v>363.10334329706501</v>
      </c>
      <c r="F169" s="6">
        <f t="shared" si="5"/>
        <v>34.077248768429556</v>
      </c>
    </row>
    <row r="170" spans="1:6" ht="36" customHeight="1">
      <c r="A170" s="42">
        <f t="shared" si="4"/>
        <v>7</v>
      </c>
      <c r="B170" s="21" t="s">
        <v>34</v>
      </c>
      <c r="C170" s="42" t="s">
        <v>9</v>
      </c>
      <c r="D170" s="31">
        <v>5</v>
      </c>
      <c r="E170" s="6">
        <f>3.2910922863*1.133*1.11*1.015*1.012*1.015*1.0015*1.015</f>
        <v>4.3865445269111198</v>
      </c>
      <c r="F170" s="6">
        <f t="shared" si="5"/>
        <v>21.932722634555599</v>
      </c>
    </row>
    <row r="171" spans="1:6" ht="36" customHeight="1">
      <c r="A171" s="42">
        <f t="shared" si="4"/>
        <v>8</v>
      </c>
      <c r="B171" s="21" t="s">
        <v>35</v>
      </c>
      <c r="C171" s="42" t="s">
        <v>9</v>
      </c>
      <c r="D171" s="29">
        <v>6.35</v>
      </c>
      <c r="E171" s="6">
        <f>1.5562981602*1.133*1.11*1.015*1.012*1.015*1.0015*1.015</f>
        <v>2.0743177592695612</v>
      </c>
      <c r="F171" s="6">
        <f t="shared" si="5"/>
        <v>13.171917771361713</v>
      </c>
    </row>
    <row r="172" spans="1:6" ht="36" customHeight="1">
      <c r="A172" s="42">
        <f t="shared" si="4"/>
        <v>9</v>
      </c>
      <c r="B172" s="21" t="s">
        <v>36</v>
      </c>
      <c r="C172" s="42" t="s">
        <v>9</v>
      </c>
      <c r="D172" s="26">
        <v>12.9</v>
      </c>
      <c r="E172" s="6">
        <f>0.1609963614*1.133*1.11*1.015*1.012*1.015*1.0015*1.015</f>
        <v>0.2145845957865064</v>
      </c>
      <c r="F172" s="6">
        <f t="shared" si="5"/>
        <v>2.7681412856459326</v>
      </c>
    </row>
    <row r="173" spans="1:6" ht="25.5" customHeight="1">
      <c r="A173" s="42">
        <f t="shared" si="4"/>
        <v>10</v>
      </c>
      <c r="B173" s="21" t="s">
        <v>32</v>
      </c>
      <c r="C173" s="42" t="s">
        <v>14</v>
      </c>
      <c r="D173" s="28">
        <f>0.00875</f>
        <v>8.7500000000000008E-3</v>
      </c>
      <c r="E173" s="6">
        <f>559.0155326301*1.133*1.11*1.015*1.012*1.015*1.0015*1.015</f>
        <v>745.0859203567602</v>
      </c>
      <c r="F173" s="6">
        <f t="shared" si="5"/>
        <v>6.5195018031216527</v>
      </c>
    </row>
    <row r="174" spans="1:6" ht="25.5" customHeight="1">
      <c r="A174" s="42">
        <f t="shared" si="4"/>
        <v>11</v>
      </c>
      <c r="B174" s="21" t="s">
        <v>38</v>
      </c>
      <c r="C174" s="42" t="s">
        <v>14</v>
      </c>
      <c r="D174" s="30">
        <f>0.0044</f>
        <v>4.4000000000000003E-3</v>
      </c>
      <c r="E174" s="6">
        <f>324.710994699*1.133*1.11*1.015*1.012*1.015*1.0015*1.015</f>
        <v>432.79225032795881</v>
      </c>
      <c r="F174" s="6">
        <f t="shared" si="5"/>
        <v>1.9042859014430189</v>
      </c>
    </row>
    <row r="175" spans="1:6" ht="25.5" customHeight="1">
      <c r="A175" s="42">
        <f t="shared" si="4"/>
        <v>12</v>
      </c>
      <c r="B175" s="21" t="s">
        <v>37</v>
      </c>
      <c r="C175" s="42" t="s">
        <v>24</v>
      </c>
      <c r="D175" s="31">
        <v>2</v>
      </c>
      <c r="E175" s="6">
        <f>0.58332015*1.133*1.11*1.015*1.012*1.015*1.0015*1.015</f>
        <v>0.77748041951632763</v>
      </c>
      <c r="F175" s="6">
        <f t="shared" si="5"/>
        <v>1.5549608390326553</v>
      </c>
    </row>
    <row r="176" spans="1:6" ht="25.5" customHeight="1">
      <c r="A176" s="42">
        <f t="shared" si="4"/>
        <v>13</v>
      </c>
      <c r="B176" s="21" t="s">
        <v>39</v>
      </c>
      <c r="C176" s="42" t="s">
        <v>24</v>
      </c>
      <c r="D176" s="31">
        <v>2</v>
      </c>
      <c r="E176" s="6">
        <f>0.151663239*1.133*1.11*1.015*1.012*1.015*1.0015*1.015</f>
        <v>0.20214490907424509</v>
      </c>
      <c r="F176" s="6">
        <f t="shared" si="5"/>
        <v>0.40428981814849019</v>
      </c>
    </row>
    <row r="177" spans="1:6" ht="25.5" customHeight="1">
      <c r="A177" s="42">
        <f t="shared" si="4"/>
        <v>14</v>
      </c>
      <c r="B177" s="21" t="s">
        <v>40</v>
      </c>
      <c r="C177" s="32" t="s">
        <v>24</v>
      </c>
      <c r="D177" s="31">
        <v>2</v>
      </c>
      <c r="E177" s="6">
        <f>3.4999209*1.133*1.11*1.015*1.012*1.015*1.0015*1.015</f>
        <v>4.664882517097964</v>
      </c>
      <c r="F177" s="6">
        <f t="shared" si="5"/>
        <v>9.329765034195928</v>
      </c>
    </row>
    <row r="178" spans="1:6" ht="36" customHeight="1">
      <c r="A178" s="42">
        <f t="shared" si="4"/>
        <v>15</v>
      </c>
      <c r="B178" s="21" t="s">
        <v>41</v>
      </c>
      <c r="C178" s="42" t="s">
        <v>11</v>
      </c>
      <c r="D178" s="40">
        <f>0.039</f>
        <v>3.9E-2</v>
      </c>
      <c r="E178" s="6">
        <f>126.70765995972*1.133*1.11*1.015*1.012*1.015*1.0015*1.015</f>
        <v>168.88277324453009</v>
      </c>
      <c r="F178" s="6">
        <f t="shared" si="5"/>
        <v>6.5864281565366731</v>
      </c>
    </row>
    <row r="179" spans="1:6" ht="25.5" customHeight="1">
      <c r="A179" s="42"/>
      <c r="B179" s="27" t="s">
        <v>101</v>
      </c>
      <c r="C179" s="42"/>
      <c r="D179" s="42"/>
      <c r="E179" s="6"/>
      <c r="F179" s="6"/>
    </row>
    <row r="180" spans="1:6" ht="36" customHeight="1">
      <c r="A180" s="42">
        <f t="shared" si="4"/>
        <v>1</v>
      </c>
      <c r="B180" s="21" t="s">
        <v>102</v>
      </c>
      <c r="C180" s="42" t="s">
        <v>10</v>
      </c>
      <c r="D180" s="26">
        <v>12.5</v>
      </c>
      <c r="E180" s="6">
        <f>2.877941*1.133*1.11*1.015*1.012*1.015*1.0015*1.015</f>
        <v>3.8358743067991714</v>
      </c>
      <c r="F180" s="6">
        <f t="shared" si="5"/>
        <v>47.948428834989642</v>
      </c>
    </row>
    <row r="181" spans="1:6" ht="25.5" customHeight="1">
      <c r="A181" s="42">
        <f t="shared" si="4"/>
        <v>2</v>
      </c>
      <c r="B181" s="21" t="s">
        <v>17</v>
      </c>
      <c r="C181" s="42" t="s">
        <v>10</v>
      </c>
      <c r="D181" s="26">
        <v>4.8</v>
      </c>
      <c r="E181" s="6">
        <f>1.47036622*1.133*1.11*1.015*1.012*1.015*1.0015*1.015</f>
        <v>1.9597830549283042</v>
      </c>
      <c r="F181" s="6">
        <f t="shared" si="5"/>
        <v>9.4069586636558604</v>
      </c>
    </row>
    <row r="182" spans="1:6" ht="25.5" customHeight="1">
      <c r="A182" s="42">
        <f t="shared" si="4"/>
        <v>3</v>
      </c>
      <c r="B182" s="21" t="s">
        <v>19</v>
      </c>
      <c r="C182" s="42" t="s">
        <v>14</v>
      </c>
      <c r="D182" s="29">
        <v>13.85</v>
      </c>
      <c r="E182" s="6">
        <f>0.3336*1.133*1.11*1.015*1.012*1.015*1.0015*1.015</f>
        <v>0.44463999392211434</v>
      </c>
      <c r="F182" s="6">
        <f t="shared" si="5"/>
        <v>6.1582639158212835</v>
      </c>
    </row>
    <row r="183" spans="1:6" ht="25.5" customHeight="1">
      <c r="A183" s="42">
        <f t="shared" si="4"/>
        <v>4</v>
      </c>
      <c r="B183" s="21" t="s">
        <v>25</v>
      </c>
      <c r="C183" s="42" t="s">
        <v>11</v>
      </c>
      <c r="D183" s="40">
        <v>0.22800000000000001</v>
      </c>
      <c r="E183" s="6">
        <f>31.486644096*1.133*1.11*1.015*1.012*1.015*1.0015*1.015</f>
        <v>41.967090046382545</v>
      </c>
      <c r="F183" s="6">
        <f t="shared" si="5"/>
        <v>9.5684965305752208</v>
      </c>
    </row>
    <row r="184" spans="1:6" ht="36" customHeight="1">
      <c r="A184" s="42">
        <f t="shared" si="4"/>
        <v>5</v>
      </c>
      <c r="B184" s="21" t="s">
        <v>93</v>
      </c>
      <c r="C184" s="42" t="s">
        <v>10</v>
      </c>
      <c r="D184" s="26">
        <v>2.4</v>
      </c>
      <c r="E184" s="6">
        <f>35.177722956*1.133*1.11*1.015*1.012*1.015*1.0015*1.015</f>
        <v>46.886758157522969</v>
      </c>
      <c r="F184" s="6">
        <f t="shared" si="5"/>
        <v>112.52821957805513</v>
      </c>
    </row>
    <row r="185" spans="1:6" ht="36" customHeight="1">
      <c r="A185" s="42">
        <f t="shared" si="4"/>
        <v>6</v>
      </c>
      <c r="B185" s="21" t="s">
        <v>94</v>
      </c>
      <c r="C185" s="42" t="s">
        <v>10</v>
      </c>
      <c r="D185" s="29">
        <v>5.4</v>
      </c>
      <c r="E185" s="6">
        <f>39.7018350897824*1.133*1.11*1.015*1.012*1.015*1.0015*1.015</f>
        <v>52.916737748853812</v>
      </c>
      <c r="F185" s="6">
        <f t="shared" si="5"/>
        <v>285.7503838438106</v>
      </c>
    </row>
    <row r="186" spans="1:6" ht="25.5" customHeight="1">
      <c r="A186" s="42">
        <f t="shared" si="4"/>
        <v>7</v>
      </c>
      <c r="B186" s="8" t="s">
        <v>95</v>
      </c>
      <c r="C186" s="42" t="s">
        <v>14</v>
      </c>
      <c r="D186" s="25">
        <v>0.9839</v>
      </c>
      <c r="E186" s="6">
        <f>119.859202546949*1.133*1.11*1.015*1.012*1.015*1.0015*1.015</f>
        <v>159.75478145079401</v>
      </c>
      <c r="F186" s="6">
        <f t="shared" si="5"/>
        <v>157.18272946943623</v>
      </c>
    </row>
    <row r="187" spans="1:6" ht="25.5" customHeight="1">
      <c r="A187" s="42">
        <f t="shared" si="4"/>
        <v>8</v>
      </c>
      <c r="B187" s="21" t="s">
        <v>96</v>
      </c>
      <c r="C187" s="42" t="s">
        <v>9</v>
      </c>
      <c r="D187" s="26">
        <v>39.1</v>
      </c>
      <c r="E187" s="6">
        <f>2.2796151462*1.133*1.11*1.015*1.012*1.015*1.0015*1.015</f>
        <v>3.0383934794698071</v>
      </c>
      <c r="F187" s="6">
        <f t="shared" si="5"/>
        <v>118.80118504726946</v>
      </c>
    </row>
    <row r="188" spans="1:6" ht="25.5" customHeight="1">
      <c r="A188" s="42">
        <f t="shared" si="4"/>
        <v>9</v>
      </c>
      <c r="B188" s="21" t="s">
        <v>97</v>
      </c>
      <c r="C188" s="42" t="s">
        <v>9</v>
      </c>
      <c r="D188" s="26">
        <v>139.19999999999999</v>
      </c>
      <c r="E188" s="6">
        <f>1.0546428312*1.133*1.11*1.015*1.012*1.015*1.0015*1.015</f>
        <v>1.4056845984855202</v>
      </c>
      <c r="F188" s="6">
        <f t="shared" si="5"/>
        <v>195.6712961091844</v>
      </c>
    </row>
    <row r="189" spans="1:6" ht="25.5" customHeight="1">
      <c r="A189" s="42">
        <f t="shared" si="4"/>
        <v>10</v>
      </c>
      <c r="B189" s="21" t="s">
        <v>98</v>
      </c>
      <c r="C189" s="42" t="s">
        <v>14</v>
      </c>
      <c r="D189" s="28">
        <v>6.45E-3</v>
      </c>
      <c r="E189" s="6">
        <f>324.710994699*1.133*1.11*1.015*1.012*1.015*1.0015*1.015</f>
        <v>432.79225032795881</v>
      </c>
      <c r="F189" s="6">
        <f t="shared" si="5"/>
        <v>2.7915100146153344</v>
      </c>
    </row>
    <row r="190" spans="1:6" ht="25.5" customHeight="1">
      <c r="A190" s="42">
        <f t="shared" si="4"/>
        <v>11</v>
      </c>
      <c r="B190" s="21" t="s">
        <v>32</v>
      </c>
      <c r="C190" s="42" t="s">
        <v>14</v>
      </c>
      <c r="D190" s="28">
        <f>0.01105</f>
        <v>1.1050000000000001E-2</v>
      </c>
      <c r="E190" s="6">
        <f>559.0155326301*1.133*1.11*1.015*1.012*1.015*1.0015*1.015</f>
        <v>745.0859203567602</v>
      </c>
      <c r="F190" s="6">
        <f t="shared" si="5"/>
        <v>8.2331994199422009</v>
      </c>
    </row>
    <row r="191" spans="1:6" ht="36" customHeight="1">
      <c r="A191" s="42">
        <f t="shared" si="4"/>
        <v>12</v>
      </c>
      <c r="B191" s="21" t="s">
        <v>103</v>
      </c>
      <c r="C191" s="42" t="s">
        <v>12</v>
      </c>
      <c r="D191" s="26">
        <v>68.8</v>
      </c>
      <c r="E191" s="6">
        <f>0.6638183307*1.133*1.11*1.015*1.012*1.015*1.0015*1.015</f>
        <v>0.88477271740958063</v>
      </c>
      <c r="F191" s="6">
        <f t="shared" si="5"/>
        <v>60.872362957779146</v>
      </c>
    </row>
    <row r="192" spans="1:6" ht="25.5" customHeight="1">
      <c r="A192" s="42">
        <f t="shared" si="4"/>
        <v>13</v>
      </c>
      <c r="B192" s="21" t="s">
        <v>99</v>
      </c>
      <c r="C192" s="42" t="s">
        <v>14</v>
      </c>
      <c r="D192" s="30">
        <f>0.0312</f>
        <v>3.1199999999999999E-2</v>
      </c>
      <c r="E192" s="6">
        <f>234.409243898025*1.133*1.11*1.015*1.012*1.015*1.0015*1.015</f>
        <v>312.43322776410446</v>
      </c>
      <c r="F192" s="6">
        <f t="shared" si="5"/>
        <v>9.7479167062400585</v>
      </c>
    </row>
    <row r="193" spans="1:6" ht="36" customHeight="1">
      <c r="A193" s="42">
        <f t="shared" si="4"/>
        <v>14</v>
      </c>
      <c r="B193" s="21" t="s">
        <v>100</v>
      </c>
      <c r="C193" s="42" t="s">
        <v>11</v>
      </c>
      <c r="D193" s="40">
        <f>0.768</f>
        <v>0.76800000000000002</v>
      </c>
      <c r="E193" s="6">
        <f>126.70765995972*1.133*1.11*1.015*1.012*1.015*1.0015*1.015</f>
        <v>168.88277324453009</v>
      </c>
      <c r="F193" s="6">
        <f t="shared" si="5"/>
        <v>129.70196985179911</v>
      </c>
    </row>
    <row r="194" spans="1:6" ht="24" customHeight="1">
      <c r="A194" s="42"/>
      <c r="B194" s="45" t="s">
        <v>113</v>
      </c>
      <c r="C194" s="42"/>
      <c r="D194" s="42"/>
      <c r="E194" s="6"/>
      <c r="F194" s="6"/>
    </row>
    <row r="195" spans="1:6" ht="22.5" customHeight="1">
      <c r="A195" s="42"/>
      <c r="B195" s="27" t="s">
        <v>119</v>
      </c>
      <c r="C195" s="35"/>
      <c r="D195" s="35"/>
      <c r="E195" s="6"/>
      <c r="F195" s="6"/>
    </row>
    <row r="196" spans="1:6" ht="35.25" customHeight="1">
      <c r="A196" s="42">
        <f t="shared" si="4"/>
        <v>1</v>
      </c>
      <c r="B196" s="21" t="s">
        <v>120</v>
      </c>
      <c r="C196" s="42" t="s">
        <v>71</v>
      </c>
      <c r="D196" s="25">
        <v>2.16E-3</v>
      </c>
      <c r="E196" s="6">
        <f>926.9643297*1.133*1.11*1.015*1.012*1.015*1.0015*1.015</f>
        <v>1235.5078355030723</v>
      </c>
      <c r="F196" s="6">
        <f t="shared" si="5"/>
        <v>2.6686969246866363</v>
      </c>
    </row>
    <row r="197" spans="1:6" ht="51" customHeight="1">
      <c r="A197" s="42">
        <f t="shared" si="4"/>
        <v>2</v>
      </c>
      <c r="B197" s="21" t="s">
        <v>114</v>
      </c>
      <c r="C197" s="42" t="s">
        <v>10</v>
      </c>
      <c r="D197" s="25">
        <v>0.2</v>
      </c>
      <c r="E197" s="6">
        <f>1.47036622*1.133*1.11*1.015*1.012*1.015*1.0015*1.015</f>
        <v>1.9597830549283042</v>
      </c>
      <c r="F197" s="6">
        <f t="shared" si="5"/>
        <v>0.39195661098566087</v>
      </c>
    </row>
    <row r="198" spans="1:6" ht="18.75" customHeight="1">
      <c r="A198" s="42">
        <f t="shared" si="4"/>
        <v>3</v>
      </c>
      <c r="B198" s="21" t="s">
        <v>19</v>
      </c>
      <c r="C198" s="42" t="s">
        <v>14</v>
      </c>
      <c r="D198" s="29">
        <v>3.15</v>
      </c>
      <c r="E198" s="6">
        <f>0.3336*1.133*1.11*1.015*1.012*1.015*1.0015*1.015</f>
        <v>0.44463999392211434</v>
      </c>
      <c r="F198" s="6">
        <f t="shared" si="5"/>
        <v>1.4006159808546601</v>
      </c>
    </row>
    <row r="199" spans="1:6" ht="23.25" customHeight="1">
      <c r="A199" s="42"/>
      <c r="B199" s="27" t="s">
        <v>121</v>
      </c>
      <c r="C199" s="42"/>
      <c r="D199" s="26"/>
      <c r="E199" s="6"/>
      <c r="F199" s="6"/>
    </row>
    <row r="200" spans="1:6" ht="35.25" customHeight="1">
      <c r="A200" s="42">
        <f>1+A198</f>
        <v>4</v>
      </c>
      <c r="B200" s="21" t="s">
        <v>115</v>
      </c>
      <c r="C200" s="42" t="s">
        <v>10</v>
      </c>
      <c r="D200" s="26">
        <f>0.196*8</f>
        <v>1.5680000000000001</v>
      </c>
      <c r="E200" s="6">
        <f>51.1603683540058*1.133*1.11*1.015*1.012*1.015*1.0015*1.015</f>
        <v>68.189286192980433</v>
      </c>
      <c r="F200" s="6">
        <f t="shared" si="5"/>
        <v>106.92080075059332</v>
      </c>
    </row>
    <row r="201" spans="1:6" ht="24" customHeight="1">
      <c r="A201" s="42">
        <f t="shared" si="4"/>
        <v>5</v>
      </c>
      <c r="B201" s="21" t="s">
        <v>127</v>
      </c>
      <c r="C201" s="42" t="s">
        <v>14</v>
      </c>
      <c r="D201" s="30">
        <v>3.04E-2</v>
      </c>
      <c r="E201" s="6">
        <f>324.710994699*1.133*1.11*1.015*1.012*1.015*1.0015*1.015</f>
        <v>432.79225032795881</v>
      </c>
      <c r="F201" s="6">
        <f t="shared" si="5"/>
        <v>13.156884409969948</v>
      </c>
    </row>
    <row r="202" spans="1:6" ht="35.25" customHeight="1">
      <c r="A202" s="42">
        <f t="shared" si="4"/>
        <v>6</v>
      </c>
      <c r="B202" s="21" t="s">
        <v>116</v>
      </c>
      <c r="C202" s="43" t="s">
        <v>24</v>
      </c>
      <c r="D202" s="31">
        <f>1*8</f>
        <v>8</v>
      </c>
      <c r="E202" s="6">
        <f>17.0759972*1.133*1.11*1.015*1.012*1.015*1.0015*1.015</f>
        <v>22.759806028843048</v>
      </c>
      <c r="F202" s="6">
        <f t="shared" si="5"/>
        <v>182.07844823074439</v>
      </c>
    </row>
    <row r="203" spans="1:6" ht="25.5" customHeight="1">
      <c r="A203" s="42">
        <f t="shared" si="4"/>
        <v>7</v>
      </c>
      <c r="B203" s="21" t="s">
        <v>122</v>
      </c>
      <c r="C203" s="42" t="s">
        <v>9</v>
      </c>
      <c r="D203" s="26">
        <f>1.2*8</f>
        <v>9.6</v>
      </c>
      <c r="E203" s="6">
        <f>2.508276645*1.133*1.11*1.015*1.012*1.015*1.0015*1.015</f>
        <v>3.3431658039202081</v>
      </c>
      <c r="F203" s="6">
        <f t="shared" si="5"/>
        <v>32.094391717633997</v>
      </c>
    </row>
    <row r="204" spans="1:6" ht="25.5" customHeight="1">
      <c r="A204" s="42">
        <f t="shared" si="4"/>
        <v>8</v>
      </c>
      <c r="B204" s="21" t="s">
        <v>123</v>
      </c>
      <c r="C204" s="42" t="s">
        <v>9</v>
      </c>
      <c r="D204" s="31">
        <f>6*8</f>
        <v>48</v>
      </c>
      <c r="E204" s="6">
        <f>3.7997474571*1.133*1.11*1.015*1.012*1.015*1.0015*1.015</f>
        <v>5.0645074527293561</v>
      </c>
      <c r="F204" s="6">
        <f t="shared" si="5"/>
        <v>243.09635773100911</v>
      </c>
    </row>
    <row r="205" spans="1:6" ht="25.5" customHeight="1">
      <c r="A205" s="42">
        <f t="shared" ref="A205:A231" si="6">1+A204</f>
        <v>9</v>
      </c>
      <c r="B205" s="21" t="s">
        <v>124</v>
      </c>
      <c r="C205" s="42" t="s">
        <v>9</v>
      </c>
      <c r="D205" s="31">
        <f>3*8</f>
        <v>24</v>
      </c>
      <c r="E205" s="6">
        <f>2.2796151462*1.133*1.11*1.015*1.012*1.015*1.0015*1.015</f>
        <v>3.0383934794698071</v>
      </c>
      <c r="F205" s="6">
        <f t="shared" ref="F205:F231" si="7">E205*D205</f>
        <v>72.92144350727537</v>
      </c>
    </row>
    <row r="206" spans="1:6" ht="25.5" customHeight="1">
      <c r="A206" s="42">
        <f t="shared" si="6"/>
        <v>10</v>
      </c>
      <c r="B206" s="21" t="s">
        <v>125</v>
      </c>
      <c r="C206" s="42" t="s">
        <v>9</v>
      </c>
      <c r="D206" s="31">
        <f>2*8</f>
        <v>16</v>
      </c>
      <c r="E206" s="6">
        <f>1.2343054374*1.133*1.11*1.015*1.012*1.015*1.0015*1.015</f>
        <v>1.6451485676965487</v>
      </c>
      <c r="F206" s="6">
        <f t="shared" si="7"/>
        <v>26.322377083144779</v>
      </c>
    </row>
    <row r="207" spans="1:6" ht="25.5" customHeight="1">
      <c r="A207" s="42">
        <f t="shared" si="6"/>
        <v>11</v>
      </c>
      <c r="B207" s="21" t="s">
        <v>126</v>
      </c>
      <c r="C207" s="42" t="s">
        <v>9</v>
      </c>
      <c r="D207" s="26">
        <f>0.6*8</f>
        <v>4.8</v>
      </c>
      <c r="E207" s="6">
        <f>0.8259813324*1.133*1.11*1.015*1.012*1.015*1.0015*1.015</f>
        <v>1.1009122740351196</v>
      </c>
      <c r="F207" s="6">
        <f t="shared" si="7"/>
        <v>5.2843789153685741</v>
      </c>
    </row>
    <row r="208" spans="1:6" ht="25.5" customHeight="1">
      <c r="A208" s="42">
        <f t="shared" si="6"/>
        <v>12</v>
      </c>
      <c r="B208" s="21" t="s">
        <v>32</v>
      </c>
      <c r="C208" s="42" t="s">
        <v>14</v>
      </c>
      <c r="D208" s="25">
        <f>0.00602</f>
        <v>6.0200000000000002E-3</v>
      </c>
      <c r="E208" s="6">
        <f>559.0155326301*1.133*1.11*1.015*1.012*1.015*1.0015*1.015</f>
        <v>745.0859203567602</v>
      </c>
      <c r="F208" s="6">
        <f t="shared" si="7"/>
        <v>4.4854172405476964</v>
      </c>
    </row>
    <row r="209" spans="1:6" ht="25.5" customHeight="1">
      <c r="A209" s="42">
        <f t="shared" si="6"/>
        <v>13</v>
      </c>
      <c r="B209" s="21" t="s">
        <v>128</v>
      </c>
      <c r="C209" s="42" t="s">
        <v>14</v>
      </c>
      <c r="D209" s="30">
        <v>7.1999999999999998E-3</v>
      </c>
      <c r="E209" s="6">
        <f>324.710994699*1.133*1.11*1.015*1.012*1.015*1.0015*1.015</f>
        <v>432.79225032795881</v>
      </c>
      <c r="F209" s="6">
        <f t="shared" si="7"/>
        <v>3.1161042023613033</v>
      </c>
    </row>
    <row r="210" spans="1:6" ht="25.5" customHeight="1">
      <c r="A210" s="42">
        <f t="shared" si="6"/>
        <v>14</v>
      </c>
      <c r="B210" s="21" t="s">
        <v>129</v>
      </c>
      <c r="C210" s="42" t="s">
        <v>14</v>
      </c>
      <c r="D210" s="30">
        <v>1.5E-3</v>
      </c>
      <c r="E210" s="6">
        <f>343.6723994949*1.133*1.11*1.015*1.012*1.015*1.0015*1.015</f>
        <v>458.06502884475663</v>
      </c>
      <c r="F210" s="6">
        <f t="shared" si="7"/>
        <v>0.6870975432671349</v>
      </c>
    </row>
    <row r="211" spans="1:6" ht="25.5" customHeight="1">
      <c r="A211" s="42">
        <f t="shared" si="6"/>
        <v>15</v>
      </c>
      <c r="B211" s="33" t="s">
        <v>130</v>
      </c>
      <c r="C211" s="42" t="s">
        <v>24</v>
      </c>
      <c r="D211" s="31">
        <f>2*8</f>
        <v>16</v>
      </c>
      <c r="E211" s="6">
        <f>0.58332015*1.133*1.11*1.015*1.012*1.015*1.0015*1.015</f>
        <v>0.77748041951632763</v>
      </c>
      <c r="F211" s="6">
        <f t="shared" si="7"/>
        <v>12.439686712261242</v>
      </c>
    </row>
    <row r="212" spans="1:6" ht="35.25" customHeight="1">
      <c r="A212" s="42">
        <f t="shared" si="6"/>
        <v>16</v>
      </c>
      <c r="B212" s="21" t="s">
        <v>131</v>
      </c>
      <c r="C212" s="42" t="s">
        <v>11</v>
      </c>
      <c r="D212" s="40">
        <f>0.027*8</f>
        <v>0.216</v>
      </c>
      <c r="E212" s="6">
        <f>126.70765995972*1.133*1.11*1.015*1.012*1.015*1.0015*1.015</f>
        <v>168.88277324453009</v>
      </c>
      <c r="F212" s="6">
        <f t="shared" si="7"/>
        <v>36.478679020818497</v>
      </c>
    </row>
    <row r="213" spans="1:6" ht="23.25" customHeight="1">
      <c r="A213" s="42"/>
      <c r="B213" s="27" t="s">
        <v>136</v>
      </c>
      <c r="C213" s="43"/>
      <c r="D213" s="25"/>
      <c r="E213" s="6"/>
      <c r="F213" s="6"/>
    </row>
    <row r="214" spans="1:6" ht="35.25" customHeight="1">
      <c r="A214" s="42">
        <f>1+A212</f>
        <v>17</v>
      </c>
      <c r="B214" s="21" t="s">
        <v>137</v>
      </c>
      <c r="C214" s="43" t="s">
        <v>24</v>
      </c>
      <c r="D214" s="31">
        <v>2</v>
      </c>
      <c r="E214" s="6">
        <f>8.5379986*1.133*1.11*1.015*1.012*1.015*1.0015*1.015</f>
        <v>11.379903014421524</v>
      </c>
      <c r="F214" s="6">
        <f t="shared" si="7"/>
        <v>22.759806028843048</v>
      </c>
    </row>
    <row r="215" spans="1:6" ht="18.75" customHeight="1">
      <c r="A215" s="42">
        <f t="shared" si="6"/>
        <v>18</v>
      </c>
      <c r="B215" s="21" t="s">
        <v>19</v>
      </c>
      <c r="C215" s="42" t="s">
        <v>14</v>
      </c>
      <c r="D215" s="26">
        <v>3.6</v>
      </c>
      <c r="E215" s="6">
        <f>0.3336*1.133*1.11*1.015*1.012*1.015*1.0015*1.015</f>
        <v>0.44463999392211434</v>
      </c>
      <c r="F215" s="6">
        <f t="shared" si="7"/>
        <v>1.6007039781196117</v>
      </c>
    </row>
    <row r="216" spans="1:6" ht="35.25" customHeight="1">
      <c r="A216" s="42">
        <f t="shared" si="6"/>
        <v>19</v>
      </c>
      <c r="B216" s="21" t="s">
        <v>115</v>
      </c>
      <c r="C216" s="42" t="s">
        <v>10</v>
      </c>
      <c r="D216" s="40">
        <f>0.196*2</f>
        <v>0.39200000000000002</v>
      </c>
      <c r="E216" s="6">
        <f>51.1603683540058*1.133*1.11*1.015*1.012*1.015*1.0015*1.015</f>
        <v>68.189286192980433</v>
      </c>
      <c r="F216" s="6">
        <f t="shared" si="7"/>
        <v>26.730200187648329</v>
      </c>
    </row>
    <row r="217" spans="1:6" ht="22.5" customHeight="1">
      <c r="A217" s="42">
        <f t="shared" si="6"/>
        <v>20</v>
      </c>
      <c r="B217" s="21" t="s">
        <v>127</v>
      </c>
      <c r="C217" s="42" t="s">
        <v>14</v>
      </c>
      <c r="D217" s="30">
        <v>7.6E-3</v>
      </c>
      <c r="E217" s="6">
        <f>324.710994699*1.133*1.11*1.015*1.012*1.015*1.0015*1.015</f>
        <v>432.79225032795881</v>
      </c>
      <c r="F217" s="6">
        <f t="shared" si="7"/>
        <v>3.2892211024924869</v>
      </c>
    </row>
    <row r="218" spans="1:6" ht="35.25" customHeight="1">
      <c r="A218" s="42">
        <f t="shared" si="6"/>
        <v>21</v>
      </c>
      <c r="B218" s="21" t="s">
        <v>116</v>
      </c>
      <c r="C218" s="43" t="s">
        <v>24</v>
      </c>
      <c r="D218" s="31">
        <f>1*2</f>
        <v>2</v>
      </c>
      <c r="E218" s="6">
        <f>17.0759972*1.133*1.11*1.015*1.012*1.015*1.0015*1.015</f>
        <v>22.759806028843048</v>
      </c>
      <c r="F218" s="6">
        <f t="shared" si="7"/>
        <v>45.519612057686096</v>
      </c>
    </row>
    <row r="219" spans="1:6" ht="22.5" customHeight="1">
      <c r="A219" s="42">
        <f t="shared" si="6"/>
        <v>22</v>
      </c>
      <c r="B219" s="21" t="s">
        <v>122</v>
      </c>
      <c r="C219" s="42" t="s">
        <v>9</v>
      </c>
      <c r="D219" s="26">
        <f>1.2*2</f>
        <v>2.4</v>
      </c>
      <c r="E219" s="6">
        <f>2.508276645*1.133*1.11*1.015*1.012*1.015*1.0015*1.015</f>
        <v>3.3431658039202081</v>
      </c>
      <c r="F219" s="6">
        <f t="shared" si="7"/>
        <v>8.0235979294084991</v>
      </c>
    </row>
    <row r="220" spans="1:6" ht="22.5" customHeight="1">
      <c r="A220" s="42">
        <f t="shared" si="6"/>
        <v>23</v>
      </c>
      <c r="B220" s="21" t="s">
        <v>123</v>
      </c>
      <c r="C220" s="42" t="s">
        <v>9</v>
      </c>
      <c r="D220" s="31">
        <f>2*2</f>
        <v>4</v>
      </c>
      <c r="E220" s="6">
        <f>3.7997474571*1.133*1.11*1.015*1.012*1.015*1.0015*1.015</f>
        <v>5.0645074527293561</v>
      </c>
      <c r="F220" s="6">
        <f t="shared" si="7"/>
        <v>20.258029810917424</v>
      </c>
    </row>
    <row r="221" spans="1:6" ht="22.5" customHeight="1">
      <c r="A221" s="42">
        <f t="shared" si="6"/>
        <v>24</v>
      </c>
      <c r="B221" s="21" t="s">
        <v>125</v>
      </c>
      <c r="C221" s="42" t="s">
        <v>9</v>
      </c>
      <c r="D221" s="31">
        <f>2*2</f>
        <v>4</v>
      </c>
      <c r="E221" s="6">
        <f>2.2796151462*1.133*1.11*1.015*1.012*1.015*1.0015*1.015</f>
        <v>3.0383934794698071</v>
      </c>
      <c r="F221" s="6">
        <f t="shared" si="7"/>
        <v>12.153573917879228</v>
      </c>
    </row>
    <row r="222" spans="1:6" ht="22.5" customHeight="1">
      <c r="A222" s="42">
        <f t="shared" si="6"/>
        <v>25</v>
      </c>
      <c r="B222" s="21" t="s">
        <v>126</v>
      </c>
      <c r="C222" s="42" t="s">
        <v>9</v>
      </c>
      <c r="D222" s="26">
        <f>0.6*2</f>
        <v>1.2</v>
      </c>
      <c r="E222" s="6">
        <f>0.8259813324*1.133*1.11*1.015*1.012*1.015*1.0015*1.015</f>
        <v>1.1009122740351196</v>
      </c>
      <c r="F222" s="6">
        <f t="shared" si="7"/>
        <v>1.3210947288421435</v>
      </c>
    </row>
    <row r="223" spans="1:6" ht="22.5" customHeight="1">
      <c r="A223" s="42">
        <f t="shared" si="6"/>
        <v>26</v>
      </c>
      <c r="B223" s="21" t="s">
        <v>32</v>
      </c>
      <c r="C223" s="42" t="s">
        <v>14</v>
      </c>
      <c r="D223" s="25">
        <f>0.00602</f>
        <v>6.0200000000000002E-3</v>
      </c>
      <c r="E223" s="6">
        <f>559.0155326301*1.133*1.11*1.015*1.012*1.015*1.0015*1.015</f>
        <v>745.0859203567602</v>
      </c>
      <c r="F223" s="6">
        <f t="shared" si="7"/>
        <v>4.4854172405476964</v>
      </c>
    </row>
    <row r="224" spans="1:6" ht="22.5" customHeight="1">
      <c r="A224" s="42">
        <f t="shared" si="6"/>
        <v>27</v>
      </c>
      <c r="B224" s="21" t="s">
        <v>129</v>
      </c>
      <c r="C224" s="42" t="s">
        <v>14</v>
      </c>
      <c r="D224" s="30">
        <v>4.0000000000000002E-4</v>
      </c>
      <c r="E224" s="6">
        <f>343.6723994949*1.133*1.11*1.015*1.012*1.015*1.0015*1.015</f>
        <v>458.06502884475663</v>
      </c>
      <c r="F224" s="6">
        <f t="shared" si="7"/>
        <v>0.18322601153790266</v>
      </c>
    </row>
    <row r="225" spans="1:7" ht="24.75" customHeight="1">
      <c r="A225" s="42">
        <f t="shared" si="6"/>
        <v>28</v>
      </c>
      <c r="B225" s="33" t="s">
        <v>130</v>
      </c>
      <c r="C225" s="42" t="s">
        <v>24</v>
      </c>
      <c r="D225" s="31">
        <f>2*2</f>
        <v>4</v>
      </c>
      <c r="E225" s="6">
        <f>0.58332015*1.133*1.11*1.015*1.012*1.015*1.0015*1.015</f>
        <v>0.77748041951632763</v>
      </c>
      <c r="F225" s="6">
        <f t="shared" si="7"/>
        <v>3.1099216780653105</v>
      </c>
    </row>
    <row r="226" spans="1:7" ht="31.5" customHeight="1">
      <c r="A226" s="42">
        <f t="shared" si="6"/>
        <v>29</v>
      </c>
      <c r="B226" s="21" t="s">
        <v>131</v>
      </c>
      <c r="C226" s="42" t="s">
        <v>11</v>
      </c>
      <c r="D226" s="40">
        <f>0.027*2</f>
        <v>5.3999999999999999E-2</v>
      </c>
      <c r="E226" s="6">
        <f>126.70765995972*1.133*1.11*1.015*1.012*1.015*1.0015*1.015</f>
        <v>168.88277324453009</v>
      </c>
      <c r="F226" s="6">
        <f t="shared" si="7"/>
        <v>9.1196697552046242</v>
      </c>
    </row>
    <row r="227" spans="1:7" ht="27.75" customHeight="1">
      <c r="A227" s="42"/>
      <c r="B227" s="7" t="s">
        <v>138</v>
      </c>
      <c r="C227" s="42"/>
      <c r="D227" s="25"/>
      <c r="E227" s="6"/>
      <c r="F227" s="6"/>
    </row>
    <row r="228" spans="1:7" ht="35.25" customHeight="1">
      <c r="A228" s="42">
        <f>1+A226</f>
        <v>30</v>
      </c>
      <c r="B228" s="21" t="s">
        <v>132</v>
      </c>
      <c r="C228" s="42" t="s">
        <v>117</v>
      </c>
      <c r="D228" s="29">
        <v>6.18</v>
      </c>
      <c r="E228" s="6">
        <f>69.62928757*1.133*1.11*1.015*1.012*1.015*1.0015*1.015</f>
        <v>92.80565348299146</v>
      </c>
      <c r="F228" s="6">
        <f t="shared" si="7"/>
        <v>573.53893852488716</v>
      </c>
    </row>
    <row r="229" spans="1:7" ht="35.25" customHeight="1">
      <c r="A229" s="42">
        <f t="shared" si="6"/>
        <v>31</v>
      </c>
      <c r="B229" s="21" t="s">
        <v>133</v>
      </c>
      <c r="C229" s="42" t="s">
        <v>117</v>
      </c>
      <c r="D229" s="29">
        <v>0.6</v>
      </c>
      <c r="E229" s="6">
        <f>32.14461706*1.133*1.11*1.015*1.012*1.015*1.0015*1.015</f>
        <v>42.844071745165145</v>
      </c>
      <c r="F229" s="6">
        <f t="shared" si="7"/>
        <v>25.706443047099086</v>
      </c>
    </row>
    <row r="230" spans="1:7" ht="35.25" customHeight="1">
      <c r="A230" s="42">
        <f t="shared" si="6"/>
        <v>32</v>
      </c>
      <c r="B230" s="44" t="s">
        <v>134</v>
      </c>
      <c r="C230" s="42" t="s">
        <v>24</v>
      </c>
      <c r="D230" s="31">
        <v>22</v>
      </c>
      <c r="E230" s="6">
        <f>0.1143307494*1.133*1.11*1.015*1.012*1.015*1.0015*1.015</f>
        <v>0.15238616222520013</v>
      </c>
      <c r="F230" s="6">
        <f t="shared" si="7"/>
        <v>3.3524955689544029</v>
      </c>
    </row>
    <row r="231" spans="1:7" ht="64.5" customHeight="1">
      <c r="A231" s="42">
        <f t="shared" si="6"/>
        <v>33</v>
      </c>
      <c r="B231" s="21" t="s">
        <v>135</v>
      </c>
      <c r="C231" s="43" t="s">
        <v>118</v>
      </c>
      <c r="D231" s="25">
        <v>10</v>
      </c>
      <c r="E231" s="6">
        <f>33.6839469315*1.133*1.11*1.015*1.012*1.014113</f>
        <v>44.127443532044509</v>
      </c>
      <c r="F231" s="6">
        <f t="shared" si="7"/>
        <v>441.27443532044509</v>
      </c>
    </row>
    <row r="232" spans="1:7" ht="23.25" customHeight="1">
      <c r="A232" s="42"/>
      <c r="B232" s="45" t="s">
        <v>104</v>
      </c>
      <c r="C232" s="42"/>
      <c r="D232" s="22"/>
      <c r="E232" s="6"/>
      <c r="F232" s="6"/>
    </row>
    <row r="233" spans="1:7" ht="49.5" customHeight="1">
      <c r="A233" s="42">
        <v>1</v>
      </c>
      <c r="B233" s="21" t="s">
        <v>105</v>
      </c>
      <c r="C233" s="43" t="s">
        <v>24</v>
      </c>
      <c r="D233" s="41">
        <v>4</v>
      </c>
      <c r="E233" s="6">
        <v>62.5</v>
      </c>
      <c r="F233" s="6">
        <f t="shared" ref="F233" si="8">E233*D233</f>
        <v>250</v>
      </c>
    </row>
    <row r="234" spans="1:7" s="5" customFormat="1" ht="22.5" customHeight="1">
      <c r="B234" s="17" t="s">
        <v>6</v>
      </c>
      <c r="C234" s="17"/>
      <c r="D234" s="17"/>
      <c r="E234" s="17"/>
      <c r="F234" s="18">
        <f>SUM(F12:F233)</f>
        <v>36045.846067879713</v>
      </c>
    </row>
    <row r="235" spans="1:7" s="5" customFormat="1" ht="22.5" customHeight="1">
      <c r="B235" s="17" t="s">
        <v>8</v>
      </c>
      <c r="C235" s="17"/>
      <c r="D235" s="17"/>
      <c r="E235" s="17"/>
      <c r="F235" s="18">
        <f>F234*20%</f>
        <v>7209.1692135759431</v>
      </c>
    </row>
    <row r="236" spans="1:7" s="5" customFormat="1" ht="22.5" customHeight="1">
      <c r="B236" s="17" t="s">
        <v>6</v>
      </c>
      <c r="C236" s="17"/>
      <c r="D236" s="17"/>
      <c r="E236" s="17"/>
      <c r="F236" s="18">
        <f>F235+F234</f>
        <v>43255.015281455657</v>
      </c>
      <c r="G236" s="19">
        <f>F236-43255.015</f>
        <v>2.8145565738668665E-4</v>
      </c>
    </row>
    <row r="237" spans="1:7" s="5" customFormat="1" ht="22.5" customHeight="1"/>
    <row r="238" spans="1:7" s="5" customFormat="1" ht="22.5" customHeight="1"/>
    <row r="239" spans="1:7" s="5" customFormat="1" ht="22.5" customHeight="1"/>
    <row r="240" spans="1:7" s="5" customFormat="1" ht="18" customHeight="1">
      <c r="E240" s="1"/>
    </row>
    <row r="241" spans="5:5" s="5" customFormat="1" ht="18" customHeight="1">
      <c r="E241" s="1"/>
    </row>
    <row r="242" spans="5:5" s="5" customFormat="1" ht="18" customHeight="1">
      <c r="E242" s="1"/>
    </row>
    <row r="243" spans="5:5" s="5" customFormat="1" ht="18" customHeight="1">
      <c r="E243" s="1"/>
    </row>
  </sheetData>
  <mergeCells count="8">
    <mergeCell ref="D5:D6"/>
    <mergeCell ref="A1:F1"/>
    <mergeCell ref="A2:F2"/>
    <mergeCell ref="E4:E8"/>
    <mergeCell ref="F4:F8"/>
    <mergeCell ref="A5:A6"/>
    <mergeCell ref="B5:B6"/>
    <mergeCell ref="C5:C7"/>
  </mergeCells>
  <pageMargins left="0.39370078740157483" right="7.874015748031496E-2" top="0.15748031496062992" bottom="0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Ծավալաթերթ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2025-05-15T06:31:37Z</dcterms:modified>
</cp:coreProperties>
</file>